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0" windowWidth="14175" windowHeight="8265" tabRatio="653" activeTab="8"/>
  </bookViews>
  <sheets>
    <sheet name="титул 2020 на 16.10.2020" sheetId="1" r:id="rId1"/>
    <sheet name="  2018" sheetId="2" state="hidden" r:id="rId2"/>
    <sheet name="ТИТУЛ 2018 (2)" sheetId="3" state="hidden" r:id="rId3"/>
    <sheet name="стоимость кв.м." sheetId="4" state="hidden" r:id="rId4"/>
    <sheet name="ТИТУЛ 2018 (3)" sheetId="5" state="hidden" r:id="rId5"/>
    <sheet name="ТИТУЛ 2018 " sheetId="6" state="hidden" r:id="rId6"/>
    <sheet name="ТИТУЛ 2018  (дубль 2" sheetId="7" state="hidden" r:id="rId7"/>
    <sheet name="ТИТУЛ 2018  (дубль 3" sheetId="8" state="hidden" r:id="rId8"/>
    <sheet name="на 2021" sheetId="9" r:id="rId9"/>
    <sheet name="Лист1" sheetId="10" r:id="rId10"/>
  </sheets>
  <externalReferences>
    <externalReference r:id="rId13"/>
  </externalReferences>
  <definedNames>
    <definedName name="_xlnm.Print_Titles" localSheetId="8">'на 2021'!$9:$14</definedName>
    <definedName name="_xlnm.Print_Titles" localSheetId="0">'титул 2020 на 16.10.2020'!$9:$14</definedName>
    <definedName name="_xlnm.Print_Area" localSheetId="8">'на 2021'!$A$1:$M$73</definedName>
    <definedName name="_xlnm.Print_Area" localSheetId="0">'титул 2020 на 16.10.2020'!$A$1:$M$67</definedName>
  </definedNames>
  <calcPr fullCalcOnLoad="1"/>
</workbook>
</file>

<file path=xl/sharedStrings.xml><?xml version="1.0" encoding="utf-8"?>
<sst xmlns="http://schemas.openxmlformats.org/spreadsheetml/2006/main" count="1681" uniqueCount="232">
  <si>
    <t>Согласовано</t>
  </si>
  <si>
    <t>Начальник финансового</t>
  </si>
  <si>
    <t>отдела Могилевского района</t>
  </si>
  <si>
    <t xml:space="preserve"> </t>
  </si>
  <si>
    <t>№ п/п</t>
  </si>
  <si>
    <t>Могилевского облисполкома</t>
  </si>
  <si>
    <t>__________________ И.В.Чиндо</t>
  </si>
  <si>
    <t>июль</t>
  </si>
  <si>
    <t>май</t>
  </si>
  <si>
    <t>сентябрь</t>
  </si>
  <si>
    <t>Капитальный ремонт жилого дома №12 по ул.Фабричной в аг.Межисетки Могилевского района</t>
  </si>
  <si>
    <t>апрель</t>
  </si>
  <si>
    <t>июнь</t>
  </si>
  <si>
    <t>август</t>
  </si>
  <si>
    <t>Наименование объекта</t>
  </si>
  <si>
    <t>Общая площадь квартир жилых домов, м.кв.</t>
  </si>
  <si>
    <t>Ввод  площади в текушем году, кв.м.</t>
  </si>
  <si>
    <t>Сроки проведения капитального ремонта</t>
  </si>
  <si>
    <t>Стоимость проведения капитального ремонта,</t>
  </si>
  <si>
    <t>всего</t>
  </si>
  <si>
    <t>начало</t>
  </si>
  <si>
    <t>окончание</t>
  </si>
  <si>
    <t>сметная</t>
  </si>
  <si>
    <t>договорная</t>
  </si>
  <si>
    <t>бюджет</t>
  </si>
  <si>
    <t>сумма от внесения платы за к/р граждан и арендаторами нежилых помещений</t>
  </si>
  <si>
    <t>Объекты с вводом площади* в текущем году</t>
  </si>
  <si>
    <t>Объекты  без ввода площади в текущем году</t>
  </si>
  <si>
    <t>Объекты  по капитальному ремонту отдельных конструктивных элементов</t>
  </si>
  <si>
    <t>Затраты заказчика</t>
  </si>
  <si>
    <t>Капитальный ремонт  жилого дома №15 А по ул.Центральной в д.Подгорье  Могилевского района</t>
  </si>
  <si>
    <t>ИТОГО ПО РАЗДЕЛУ</t>
  </si>
  <si>
    <t xml:space="preserve">ИТОГО ПО РАЗДЕЛУ </t>
  </si>
  <si>
    <t>УТВЕРЖДЕНО</t>
  </si>
  <si>
    <t>Решение  Могилевского РИК</t>
  </si>
  <si>
    <t xml:space="preserve">№________ </t>
  </si>
  <si>
    <t>Капитальный ремонт  жилого дома №4 по ул.Краснозвездной в д.Салтановка Могилевского района</t>
  </si>
  <si>
    <t>Капитальный ремонт  жилого дома №6 по ул.Молодежной в аг.Дашковка  Могилевского района</t>
  </si>
  <si>
    <t>Капитальный ремонт  жилого дома №3 по ул.Легендарной в аг.Буйничи Могилевского района</t>
  </si>
  <si>
    <t>-</t>
  </si>
  <si>
    <t>Начальник ЖЭО</t>
  </si>
  <si>
    <t>Х</t>
  </si>
  <si>
    <t>Управление ЖКХ</t>
  </si>
  <si>
    <t>____________________ _____________</t>
  </si>
  <si>
    <t>Капитальный ремонт  с элементами модернизации жилого дома №3 по ул.Краснозвездной в д.Салтановка Могилевского района</t>
  </si>
  <si>
    <t>В.А.Симаков</t>
  </si>
  <si>
    <t>В том числе за счет средств, поступивших в 2017 году:</t>
  </si>
  <si>
    <t>октябрь</t>
  </si>
  <si>
    <t xml:space="preserve">Капитальный ремонт с элементами модернизации жилого дома №1 по ул.Краснозвездной в д.Салтановка Могилевского района. </t>
  </si>
  <si>
    <t>Затраты заказчика, застройщика (инженерной организации)</t>
  </si>
  <si>
    <t xml:space="preserve">Начальник  ПТО </t>
  </si>
  <si>
    <t xml:space="preserve">Разработка проектной документации </t>
  </si>
  <si>
    <t>Капитальный ремонт с элементами модернизации жилого дома №6 по ул.Юбилейной в д.Брыли Могилевского района. 2-й пусковой комплекс</t>
  </si>
  <si>
    <t>Капитальный ремонт с элементами модернизации жилого дома №8 по ул.Юбилейной в д.Брыли Могилевского района. 2-й пусковой комплекс</t>
  </si>
  <si>
    <t>Капитальный ремонт с элементами модернизации жилого дома №3по ул.Центальной в аг.Восход  Могилевского района. 2-й пусковой комплекс</t>
  </si>
  <si>
    <t>Капитальный ремонт  жилого дома №32 по ул.Новоселов в аг.Речки Могилевского района</t>
  </si>
  <si>
    <t>Капитальный ремонт с элементами модернизации жилого дома №7 по ул.Хроменкова в д.Новое Пашково Могилевского района.</t>
  </si>
  <si>
    <t>Капитальный ремонт   жилого дома №4  по ул.Фабричной  в аг.Романовичи Могилевского района</t>
  </si>
  <si>
    <t>Капитальный ремонт жилого дома №3 по ул.Вейнянской  в аг.Вейно Могилевского района</t>
  </si>
  <si>
    <t>Текущий график капитального ремонта жилищного фонда 2018 год</t>
  </si>
  <si>
    <t>"____" _____________ 2018 г.</t>
  </si>
  <si>
    <t>"_____" ________________ 2018 г.</t>
  </si>
  <si>
    <t>"____ "_____________2018 г.</t>
  </si>
  <si>
    <t>2018год</t>
  </si>
  <si>
    <t>2018 год</t>
  </si>
  <si>
    <t>Использовано средств  на 01.01.2018  руб.</t>
  </si>
  <si>
    <t>кредиторская задолженность на 01.01.2018 г.</t>
  </si>
  <si>
    <t>стоимость работ на 2018 г.</t>
  </si>
  <si>
    <t>План финансирования 2018 года, рублей</t>
  </si>
  <si>
    <t>месяц</t>
  </si>
  <si>
    <t>7.</t>
  </si>
  <si>
    <t>1.</t>
  </si>
  <si>
    <t>8.</t>
  </si>
  <si>
    <t>9.</t>
  </si>
  <si>
    <t>февраль</t>
  </si>
  <si>
    <t>март</t>
  </si>
  <si>
    <t>пер.2017</t>
  </si>
  <si>
    <t>руб.</t>
  </si>
  <si>
    <t xml:space="preserve">Капитальный ремонт с элементами модернизации жилого дома №2 по ул. Пионерской в аг. Вейно Могилевского района </t>
  </si>
  <si>
    <t>Капитальный ремонт жилого дома №19 по ул.Комплексной, аг.Полыковичи Могилевского района</t>
  </si>
  <si>
    <t>Капитальный ремонт жилого дома №12 по ул.Придорожной,  в снп.Полыковичские Хутора  Могилевского района</t>
  </si>
  <si>
    <t>ИТОГО финансирование 2018 года</t>
  </si>
  <si>
    <t xml:space="preserve">Капитальный ремонт с элементами модернизации жилого дома № 2 по ул. Пионерской в аг. Вейно Могилевского района </t>
  </si>
  <si>
    <t>Капитальный ремонт   жилого дома №6 по ул.Лесной  в аг.Восход Могилевского района</t>
  </si>
  <si>
    <t>В том числе остаток за 2017 год:</t>
  </si>
  <si>
    <t>миюль</t>
  </si>
  <si>
    <t xml:space="preserve">июль </t>
  </si>
  <si>
    <t>11.</t>
  </si>
  <si>
    <t xml:space="preserve">Капитальный ремонт с элементами модернизации жилого дома №3 по ул. Пионерской в аг.Вейно Могилевского района. </t>
  </si>
  <si>
    <t xml:space="preserve">Капитальный ремонт с элементами модернизации жилого дома №68 по ул.Советской в д.Лыково Могилевского района. </t>
  </si>
  <si>
    <t>Капитальный ремонт   жилого дома № 1  по ул.Молодежной вд.Амховая Могилевского района</t>
  </si>
  <si>
    <t xml:space="preserve"> В том числе затраты заказчика, застройщика (инженерной организации)</t>
  </si>
  <si>
    <t>ИТОГО ПО РАЗДЕЛУ  2</t>
  </si>
  <si>
    <t>Капитальный ремонт   жилого дома №  1  по ул.Молодежной вд.Амховая Могилевского района</t>
  </si>
  <si>
    <t>ИТОГО ПО РАЗДЕЛУ 1</t>
  </si>
  <si>
    <t>В.С.Мелех</t>
  </si>
  <si>
    <t>Зам.директора по капитальному строительству</t>
  </si>
  <si>
    <t>Сметная стоимость проведения капитального ремонта,</t>
  </si>
  <si>
    <t>Стоимость одного  метра кв.</t>
  </si>
  <si>
    <t>Год постройки</t>
  </si>
  <si>
    <t>Директор предпритятия</t>
  </si>
  <si>
    <t>За счет средств, поступивших в 2017 году:</t>
  </si>
  <si>
    <t>Итого  финансирование 2018 года</t>
  </si>
  <si>
    <t>ВСЕГО ФИНАНСИРОВАНИЕ 2018 года</t>
  </si>
  <si>
    <t>Переходящие объекты без  ввода площадей (задолженность)</t>
  </si>
  <si>
    <t>ИТОГО ПО РАЗДЕЛУ 3</t>
  </si>
  <si>
    <t>Остаток средств на 01.01.2018 г. (отчисления населения)</t>
  </si>
  <si>
    <t>Капитальный ремонт жилого дома № 8 по ул.Лесная,  в а/г.Восход   Могилевского района</t>
  </si>
  <si>
    <t>Капитальный ремонт жилого дома № 1 по ул.Танковая,  в снп Голынец    Могилевского района</t>
  </si>
  <si>
    <t>Капитальный ремонт жилого дома № 8 по ул.Молодежная,  в а.г. Дашковка    Могилевского района</t>
  </si>
  <si>
    <t xml:space="preserve">Капитальный ремонт  жилого дома № 5 по ул. Пионерской в аг.Вейно Могилевского района. </t>
  </si>
  <si>
    <t xml:space="preserve"> В том числе затраты заказчика, застройщика (инженерной организации) ( Обследование зданий, затраты на выдачу заключений Энергонадзора, Госстройнадзора, затраты по вводу объектов согласно сводного сметного расчета)</t>
  </si>
  <si>
    <t xml:space="preserve">Капитальный ремонт  жилого дома №  4 по ул.Краснозвездной в д.Салтановка Могилевского района. </t>
  </si>
  <si>
    <t>Капитальный ремонт с элементами модернизации жилого дома № 5 по ул.Хроменкова в д.Новое Пашково Могилевского района.</t>
  </si>
  <si>
    <t>ВСЕГО   финансирование 2018 года</t>
  </si>
  <si>
    <t xml:space="preserve">__________________ </t>
  </si>
  <si>
    <t xml:space="preserve">                                                                                утвержденного Министерством архитектуры и строительства и Министерством ЖКХ № 22/17 от 14.07.2015 г.</t>
  </si>
  <si>
    <t xml:space="preserve">                                           Расчет стоимость одного метра квадратного  общей площади жилых домов </t>
  </si>
  <si>
    <t xml:space="preserve">ИТОГО ПО РАЗДЕЛУ  </t>
  </si>
  <si>
    <t xml:space="preserve"> Н.Н.Досова </t>
  </si>
  <si>
    <t xml:space="preserve"> в том числе остаток средств на 01.01.2018 г. (отчисления населения)</t>
  </si>
  <si>
    <t>Н.А.Войтов</t>
  </si>
  <si>
    <t>Н.Н.Досова</t>
  </si>
  <si>
    <t>Затраты заказчика по обследованию зданий, выдачу заключений</t>
  </si>
  <si>
    <t>Капитальный ремонт   жилого дома №  2  по ул.Авиационной  в д.Никитиничи  Могилевского района</t>
  </si>
  <si>
    <t xml:space="preserve">Капитальный ремонт  жилого дома №2 по ул.Краснозвездной в д.Салтановка Могилевского района. </t>
  </si>
  <si>
    <t>Капитальный ремонт жилого дома №9 по ул.Школьной в аг.Межисетки Могилевского района</t>
  </si>
  <si>
    <t>Капитальный ремонт жилого дома №11 по ул.Фабричной в аг.Межисетки Могилевского района</t>
  </si>
  <si>
    <t>кредиторская задолженность на 01.01.2020 г.</t>
  </si>
  <si>
    <t>стоимость работ на 2020 г.</t>
  </si>
  <si>
    <t>План финансирования 2020 года, рублей</t>
  </si>
  <si>
    <t>Капитальный ремонт жилого дома № 5 по ул.Хроменкова  в д.Новое Пашково Могилевского района</t>
  </si>
  <si>
    <t>Капитальный ремонт жилого дома№11 по ул.Фабричной в аг.Межисетки Могилевского района</t>
  </si>
  <si>
    <t>Усиление лоджий жилого дома № 5 по ул.Центральная в аг.Кадино Могилевского района</t>
  </si>
  <si>
    <t>х</t>
  </si>
  <si>
    <t>за счет средств бюджета</t>
  </si>
  <si>
    <t>за счет поступлений  от внесения платы за капитальный ремонт гражданами и арендаторами нежилых помещений,                            из них:</t>
  </si>
  <si>
    <t>&lt;*&gt; К объектам с вводом общей площади квартир после капитального ремонта относятся объекты, на которых выполнен комплекс необходимых работ по капитальному ремонту в полном объеме.</t>
  </si>
  <si>
    <t>ВСЕГО   финансирование 2020 года, в том числе:</t>
  </si>
  <si>
    <t>Объекты без ввода площади в текущем году</t>
  </si>
  <si>
    <t>Капитальный ремонт жилого дома №32 по ул.Новоселов в аг.Речки Могилевского района</t>
  </si>
  <si>
    <t>Капитальный ремонт жилого дома №12 по ул.Фабричной, аг.Межисетки Могилевского района</t>
  </si>
  <si>
    <t>пер.19</t>
  </si>
  <si>
    <t>Капитальный ремонт жилого дома №6  по ул.Лесная, аг.Восход Могилевского района</t>
  </si>
  <si>
    <t>Капитальный ремонт жилого дома №18 по ул.Советской в д.Михалево Могилевского района</t>
  </si>
  <si>
    <t>Капитальный ремонт жилого дома №20 по ул.Советской в д.Михалево Могилевского района</t>
  </si>
  <si>
    <t>ИТОГО объекты с вводом площади* в текущем году</t>
  </si>
  <si>
    <t>ИТОГО объекты  по капитальному ремонту отдельных конструктивных элементов</t>
  </si>
  <si>
    <t>ИТОГО объекты без ввода площади в текущем году</t>
  </si>
  <si>
    <t xml:space="preserve">ИТОГО разработка проектной документации </t>
  </si>
  <si>
    <t>ИТОГО затраты заказчика</t>
  </si>
  <si>
    <t>поступления  2020 года</t>
  </si>
  <si>
    <t>в том числе остаток средств на 01.01.2020 г. (отчисления населения)</t>
  </si>
  <si>
    <t>февраль 2020</t>
  </si>
  <si>
    <t>март 2020</t>
  </si>
  <si>
    <t>апрель 2020</t>
  </si>
  <si>
    <t>июнь 2020</t>
  </si>
  <si>
    <t>май 2020</t>
  </si>
  <si>
    <t>август 2020</t>
  </si>
  <si>
    <t>июль 2020</t>
  </si>
  <si>
    <t>октябрь 2020</t>
  </si>
  <si>
    <t>Капитальный ремонт жилого дома №6 по ул.Весенней в д.Большие Белевичи Могилевского района</t>
  </si>
  <si>
    <t>Капитальный ремонт жилого дома №1 по ул.Киселева в д. Боровка Могилевского района</t>
  </si>
  <si>
    <t>Капитальный ремонт жилого дома №12 по ул.Придорожной в снп.Полыковичские Хутора Могилевского района</t>
  </si>
  <si>
    <t>пер. 2019</t>
  </si>
  <si>
    <t>Капитальный ремонт жилого дома №5 по ул.Центральной аг.Восход Могилевског района</t>
  </si>
  <si>
    <t>Капитальный ремонт общежития №2 по ул.Школьной в аг.Вейно Могилевского района</t>
  </si>
  <si>
    <t xml:space="preserve">Капитальный ремонт жилого дома № 34 Кадинского сельсовета Могилевского района в районе дома № 77 по ул.Киселева  г.Могилева </t>
  </si>
  <si>
    <t>Капитальный ремонт жилого дома №5 по ул.Хроменкова в д.Новое Пашково Могилевского района</t>
  </si>
  <si>
    <t>сентябрь 2020</t>
  </si>
  <si>
    <t>ТЕКУЩИЙ ГРАФИК капитального ремонта жилищного фонда 2020 год</t>
  </si>
  <si>
    <t xml:space="preserve">Заместитель председателя </t>
  </si>
  <si>
    <t>"____ "_____________2020г.</t>
  </si>
  <si>
    <t>____________  _____________________</t>
  </si>
  <si>
    <t>____________      _____________________</t>
  </si>
  <si>
    <t>Могилевского райисполкома</t>
  </si>
  <si>
    <t>отдела Могилевского райисполкома</t>
  </si>
  <si>
    <t>декабрь 2020</t>
  </si>
  <si>
    <t>Капитальный ремонт жилого дома № 34 Кадинского сельсовета Могилевского района в районе дома № 77 по ул.Киселева  г.Могилева (подготовительный период)</t>
  </si>
  <si>
    <t>год</t>
  </si>
  <si>
    <t>апрель 2021</t>
  </si>
  <si>
    <t>Использовано средств на 01.01.2020, руб.</t>
  </si>
  <si>
    <t>План финансирования 2021 года, рублей</t>
  </si>
  <si>
    <t>Капитальный ремонт жилого дома №20 по ул. Советской в д. Михалево</t>
  </si>
  <si>
    <t>Капитальный ремонт жилого дома №5 по ул. Центральной в аг. Восход Могилевского района</t>
  </si>
  <si>
    <t>Капитальный ремонт общежития №2 по ул. Школьной в аг. Вейно Могилевского района</t>
  </si>
  <si>
    <t>Капитальный ремонт жилого дома  №8 по ул. Лесная  в аг. Восход Могилевского района</t>
  </si>
  <si>
    <t>Капитальный ремонт жилого дома  №4 по ул. Фабричная   в д. Романовичи Могилевского района</t>
  </si>
  <si>
    <t>Капитальный ремонт жилого дома  №1 по ул. Молодежная  в д. Амховая Могилевского района</t>
  </si>
  <si>
    <t>Капитальный ремонт жилого дома №4 по ул. Краснозвездная в д. Салтановка Могилевского района</t>
  </si>
  <si>
    <t>Капитальный ремонт жилого дома № 1 по ул.Восточной ПС-330 в д.Подбелье Могилевского района</t>
  </si>
  <si>
    <t xml:space="preserve">Капитальный ремонт жилого дома № 66 по ул.Советскойв д. Лыково Могилевского района
</t>
  </si>
  <si>
    <t xml:space="preserve">Капитальный ремонт жилого дома № 2 по ул.Легендарнойв аг. Буйничи Могилевского района
</t>
  </si>
  <si>
    <t>Капитальный ремонт жилого дома №7 по ул.Лесная в аг.Восход Могилевского района</t>
  </si>
  <si>
    <t xml:space="preserve">Капитальный ремонт жилого дома
№ 4 по ул. Пионерской в аг. Вейно Могилевского района
</t>
  </si>
  <si>
    <t xml:space="preserve">Капитальный ремонт жилого дома
 № 30 по ул. Новоселов в аг. Речки  Могилевского района
</t>
  </si>
  <si>
    <t xml:space="preserve">Капитальный ремонт жилого дома № 7 по ул. Пионерскойв аг. Вейно Могилевского района
</t>
  </si>
  <si>
    <t>ВСЕГО   финансирование 2021 года, в том числе:</t>
  </si>
  <si>
    <t>поступления  2021 года</t>
  </si>
  <si>
    <t>Начальник отдела ЖКХ Могилевского районного исполнительного комитета</t>
  </si>
  <si>
    <t>Использовано средств на 01.01.2021, руб.</t>
  </si>
  <si>
    <t>май 2021</t>
  </si>
  <si>
    <t>июль 2021</t>
  </si>
  <si>
    <t>июнь 2021</t>
  </si>
  <si>
    <t>август 2021</t>
  </si>
  <si>
    <t>сентябрь 2021</t>
  </si>
  <si>
    <t>октябрь 2021</t>
  </si>
  <si>
    <t>февраль 2021</t>
  </si>
  <si>
    <t>АВ.Новиков</t>
  </si>
  <si>
    <t>Капитальный ремонт жилого дома № 2а по ул.Молодежной в д.Тишовка Могилевского района</t>
  </si>
  <si>
    <t>Капитальный ремонт жилого дома №20 по ул. Советской в д. Михалево Могилевского района</t>
  </si>
  <si>
    <t>Капитальный ремонт жилого дома №18 по ул. Советской в д. Михалево Могилевского района</t>
  </si>
  <si>
    <t>Капитальный ремонт жилого дома №2 по ул. Краснозвездная в д. Салтановка Могилевского района</t>
  </si>
  <si>
    <t>Капитальный ремонт жилого дома № 17 по ул.Хроменкова в д.Н.Пашково Могилевского района</t>
  </si>
  <si>
    <t>228  500,0</t>
  </si>
  <si>
    <t xml:space="preserve">Капитальный ремонт жилого дома № 10 по ул. Советской в аг. Кадино Могилевского района
</t>
  </si>
  <si>
    <t>Капитальный ремонт жилого дома №6 по ул. Весенней в д. Большие Белевичи Могилевского района</t>
  </si>
  <si>
    <t>Капитальный реомонт жилого дома №6 по ул. Весенней в д. Большие Белевичи Могилевского района</t>
  </si>
  <si>
    <t>Капитальный ремонт жилого дома № 5 по ул.Пионерской в аг.Вейно Могилевского района</t>
  </si>
  <si>
    <t>ноябрь 2021</t>
  </si>
  <si>
    <t>Капиатальный ремонт жилого дома № 13 по ул.Центральной в аг.Восход Могилевского района</t>
  </si>
  <si>
    <t>Капиатальный ремонт жилого дома № 7 по ул.Краснозвездная в д.Салтановка Могилевского района</t>
  </si>
  <si>
    <t>Капиатальный ремонт жилого дома № 4 по ул.Краснозвездная в д.Салтановка Могилевского района</t>
  </si>
  <si>
    <t>декабрь2020</t>
  </si>
  <si>
    <t xml:space="preserve">решение  Могилевскогорайонного </t>
  </si>
  <si>
    <t>исполнительного комитета</t>
  </si>
  <si>
    <t>ТЕКУЩИЙ ГРАФИК</t>
  </si>
  <si>
    <t>02.02.2021 № 1-68</t>
  </si>
  <si>
    <t>капитального ремонта жилищного фонда на 2021 год</t>
  </si>
  <si>
    <t xml:space="preserve">стоимость работ на 2021 </t>
  </si>
  <si>
    <t>кредиторская задолженность на 01.01.2021</t>
  </si>
  <si>
    <t>в том числе остаток средств на 01.01.2021  (отчисления населения)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</si>
</sst>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#,##0.0"/>
  </numFmts>
  <fonts count="41"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20"/>
      <name val="Arial"/>
      <family val="2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i/>
      <u val="single"/>
      <sz val="14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u val="single"/>
      <sz val="18"/>
      <name val="Times New Roman"/>
      <family val="1"/>
    </font>
    <font>
      <b/>
      <sz val="10"/>
      <name val="Arial"/>
      <family val="2"/>
    </font>
    <font>
      <sz val="13"/>
      <name val="Bookman Old Style"/>
      <family val="1"/>
    </font>
    <font>
      <b/>
      <u val="single"/>
      <sz val="14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5"/>
      <name val="Times New Roman"/>
      <family val="1"/>
    </font>
    <font>
      <sz val="11"/>
      <name val="Calibri"/>
      <family val="2"/>
    </font>
    <font>
      <sz val="15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5"/>
      <name val="Times New Roman"/>
      <family val="1"/>
    </font>
    <font>
      <sz val="18"/>
      <name val="Arial"/>
      <family val="2"/>
    </font>
    <font>
      <sz val="14"/>
      <name val="Calibri"/>
      <family val="2"/>
    </font>
    <font>
      <b/>
      <sz val="18"/>
      <name val="Times New Roman"/>
      <family val="1"/>
    </font>
    <font>
      <sz val="13"/>
      <color rgb="FF343E47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399980008602142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37">
    <xf numFmtId="0" fontId="0" fillId="0" borderId="0" xfId="0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5" fontId="3" fillId="2" borderId="1" xfId="0" applyNumberFormat="1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center" wrapText="1"/>
    </xf>
    <xf numFmtId="2" fontId="9" fillId="0" borderId="0" xfId="0" applyNumberFormat="1" applyFont="1" applyFill="1" applyAlignment="1">
      <alignment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165" fontId="3" fillId="4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justify" vertical="top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top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2" fontId="4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2" fontId="13" fillId="0" borderId="7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Alignment="1">
      <alignment horizontal="justify"/>
    </xf>
    <xf numFmtId="0" fontId="4" fillId="3" borderId="1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justify" vertical="top" wrapText="1"/>
    </xf>
    <xf numFmtId="165" fontId="3" fillId="3" borderId="1" xfId="0" applyNumberFormat="1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4" fontId="4" fillId="3" borderId="2" xfId="0" applyNumberFormat="1" applyFont="1" applyFill="1" applyBorder="1" applyAlignment="1">
      <alignment horizontal="justify" vertical="top" wrapText="1"/>
    </xf>
    <xf numFmtId="0" fontId="4" fillId="3" borderId="3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justify" vertical="top" wrapText="1"/>
    </xf>
    <xf numFmtId="2" fontId="4" fillId="3" borderId="3" xfId="0" applyNumberFormat="1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 vertical="top" wrapText="1"/>
    </xf>
    <xf numFmtId="0" fontId="13" fillId="3" borderId="2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justify" vertical="top" wrapText="1"/>
    </xf>
    <xf numFmtId="165" fontId="3" fillId="4" borderId="1" xfId="0" applyNumberFormat="1" applyFont="1" applyFill="1" applyBorder="1" applyAlignment="1">
      <alignment horizontal="justify" vertical="top" wrapText="1"/>
    </xf>
    <xf numFmtId="2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66" fontId="13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7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3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top" wrapText="1"/>
    </xf>
    <xf numFmtId="165" fontId="3" fillId="0" borderId="6" xfId="0" applyNumberFormat="1" applyFont="1" applyFill="1" applyBorder="1" applyAlignment="1">
      <alignment horizontal="justify" vertical="top" wrapText="1"/>
    </xf>
    <xf numFmtId="2" fontId="3" fillId="0" borderId="6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165" fontId="4" fillId="2" borderId="1" xfId="0" applyNumberFormat="1" applyFont="1" applyFill="1" applyBorder="1" applyAlignment="1">
      <alignment horizontal="justify" vertical="top" wrapText="1"/>
    </xf>
    <xf numFmtId="4" fontId="4" fillId="2" borderId="1" xfId="0" applyNumberFormat="1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40" fillId="0" borderId="0" xfId="0" applyFont="1" applyAlignment="1">
      <alignment/>
    </xf>
    <xf numFmtId="3" fontId="22" fillId="0" borderId="0" xfId="0" applyNumberFormat="1" applyFont="1" applyFill="1" applyAlignment="1">
      <alignment wrapText="1"/>
    </xf>
    <xf numFmtId="165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13" fillId="2" borderId="1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2" fontId="4" fillId="0" borderId="2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0" fontId="3" fillId="2" borderId="6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/>
    </xf>
    <xf numFmtId="0" fontId="18" fillId="2" borderId="0" xfId="0" applyFont="1" applyFill="1" applyAlignment="1">
      <alignment/>
    </xf>
    <xf numFmtId="4" fontId="13" fillId="4" borderId="2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top" wrapText="1"/>
    </xf>
    <xf numFmtId="165" fontId="4" fillId="4" borderId="7" xfId="0" applyNumberFormat="1" applyFont="1" applyFill="1" applyBorder="1" applyAlignment="1">
      <alignment horizontal="center" vertical="center" wrapText="1"/>
    </xf>
    <xf numFmtId="4" fontId="13" fillId="4" borderId="7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4" fontId="4" fillId="0" borderId="2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wrapText="1"/>
    </xf>
    <xf numFmtId="0" fontId="10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center" wrapText="1"/>
    </xf>
    <xf numFmtId="0" fontId="4" fillId="0" borderId="2" xfId="0" applyFont="1" applyFill="1" applyBorder="1" applyAlignment="1">
      <alignment horizontal="justify" vertical="center" wrapText="1"/>
    </xf>
    <xf numFmtId="165" fontId="4" fillId="2" borderId="1" xfId="0" applyNumberFormat="1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6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4" fillId="2" borderId="2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/>
    </xf>
    <xf numFmtId="0" fontId="23" fillId="0" borderId="0" xfId="0" applyFont="1" applyFill="1" applyAlignment="1">
      <alignment/>
    </xf>
    <xf numFmtId="4" fontId="13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4" fontId="4" fillId="2" borderId="9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top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13" fillId="2" borderId="7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justify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justify" vertical="top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justify" vertical="top" wrapText="1"/>
    </xf>
    <xf numFmtId="2" fontId="4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9" fillId="0" borderId="1" xfId="0" applyFont="1" applyFill="1" applyBorder="1" applyAlignment="1">
      <alignment horizontal="justify" vertical="top" wrapText="1"/>
    </xf>
    <xf numFmtId="0" fontId="29" fillId="0" borderId="1" xfId="0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43" fontId="0" fillId="0" borderId="0" xfId="0" applyNumberFormat="1" applyFill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29" fillId="0" borderId="1" xfId="2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166" fontId="29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3" fontId="19" fillId="0" borderId="0" xfId="0" applyNumberFormat="1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30" fillId="0" borderId="1" xfId="2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4" fontId="29" fillId="0" borderId="2" xfId="0" applyNumberFormat="1" applyFont="1" applyFill="1" applyBorder="1" applyAlignment="1">
      <alignment horizontal="center" vertical="center" wrapText="1"/>
    </xf>
    <xf numFmtId="166" fontId="29" fillId="0" borderId="1" xfId="0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left" vertical="top" wrapText="1"/>
    </xf>
    <xf numFmtId="2" fontId="29" fillId="0" borderId="1" xfId="0" applyNumberFormat="1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0" fillId="0" borderId="0" xfId="0" applyNumberFormat="1" applyFill="1" applyAlignment="1">
      <alignment horizontal="center" vertical="center"/>
    </xf>
    <xf numFmtId="0" fontId="35" fillId="0" borderId="0" xfId="0" applyFont="1" applyFill="1" applyAlignment="1">
      <alignment vertical="top"/>
    </xf>
    <xf numFmtId="0" fontId="3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top"/>
    </xf>
    <xf numFmtId="49" fontId="2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37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2" fontId="3" fillId="2" borderId="2" xfId="0" applyNumberFormat="1" applyFont="1" applyFill="1" applyBorder="1" applyAlignment="1">
      <alignment horizontal="justify" vertical="top" wrapText="1"/>
    </xf>
    <xf numFmtId="2" fontId="13" fillId="0" borderId="2" xfId="0" applyNumberFormat="1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2" fontId="3" fillId="0" borderId="2" xfId="0" applyNumberFormat="1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5" fontId="4" fillId="4" borderId="5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4" fontId="4" fillId="2" borderId="2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6\&#1054;&#1058;&#1063;&#1045;&#1058;&#1067;\&#1044;&#1083;&#1103;%20&#1056;&#1040;&#1049;&#1060;&#1054;%20%20&#1080;&#1085;&#1092;&#1086;&#1088;&#1084;&#1072;&#1094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Январь"/>
      <sheetName val="Февраль"/>
      <sheetName val="Март"/>
      <sheetName val="май"/>
      <sheetName val="Июнь"/>
      <sheetName val="Июль"/>
      <sheetName val="Август 2016"/>
      <sheetName val="Сентябрь 2016"/>
      <sheetName val="Октябрь 2016"/>
      <sheetName val="Подрядный способ"/>
      <sheetName val="Хоз. способ"/>
    </sheetNames>
    <sheetDataSet>
      <sheetData sheetId="10">
        <row r="4">
          <cell r="J4">
            <v>1973.1799999999998</v>
          </cell>
        </row>
        <row r="5">
          <cell r="J5">
            <v>2028.02</v>
          </cell>
        </row>
        <row r="6">
          <cell r="J6">
            <v>2327.06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4"/>
  <sheetViews>
    <sheetView view="pageBreakPreview" zoomScale="80" zoomScaleNormal="69" zoomScaleSheetLayoutView="80" workbookViewId="0" topLeftCell="A13">
      <selection activeCell="G20" sqref="G20:H20"/>
    </sheetView>
  </sheetViews>
  <sheetFormatPr defaultColWidth="9.140625" defaultRowHeight="12.75"/>
  <cols>
    <col min="1" max="1" width="5.28125" style="349" customWidth="1"/>
    <col min="2" max="2" width="66.140625" style="10" customWidth="1"/>
    <col min="3" max="3" width="13.28125" style="10" customWidth="1"/>
    <col min="4" max="4" width="11.7109375" style="10" customWidth="1"/>
    <col min="5" max="5" width="15.28125" style="10" customWidth="1"/>
    <col min="6" max="6" width="24.8515625" style="349" customWidth="1"/>
    <col min="7" max="7" width="16.421875" style="10" customWidth="1"/>
    <col min="8" max="8" width="19.7109375" style="10" customWidth="1"/>
    <col min="9" max="9" width="14.8515625" style="10" customWidth="1"/>
    <col min="10" max="10" width="18.140625" style="10" customWidth="1"/>
    <col min="11" max="11" width="20.00390625" style="10" customWidth="1"/>
    <col min="12" max="12" width="16.7109375" style="10" customWidth="1"/>
    <col min="13" max="13" width="23.00390625" style="10" customWidth="1"/>
    <col min="14" max="14" width="51.421875" style="15" customWidth="1"/>
    <col min="15" max="15" width="33.140625" style="15" customWidth="1"/>
    <col min="16" max="16" width="20.28125" style="15" customWidth="1"/>
    <col min="17" max="54" width="9.140625" style="15" customWidth="1"/>
    <col min="55" max="16384" width="9.140625" style="10" customWidth="1"/>
  </cols>
  <sheetData>
    <row r="1" spans="1:256" ht="18.75">
      <c r="A1" s="346"/>
      <c r="B1" s="190" t="s">
        <v>0</v>
      </c>
      <c r="C1" s="190"/>
      <c r="D1" s="189"/>
      <c r="E1" s="190" t="s">
        <v>0</v>
      </c>
      <c r="F1" s="508"/>
      <c r="G1" s="190"/>
      <c r="H1" s="190"/>
      <c r="I1" s="190"/>
      <c r="J1" s="191"/>
      <c r="K1" s="190" t="s">
        <v>33</v>
      </c>
      <c r="L1" s="190"/>
      <c r="M1" s="2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50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50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2"/>
      <c r="BD1" s="1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1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1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1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1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1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1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1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1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1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1"/>
      <c r="IO1" s="2"/>
      <c r="IP1" s="2"/>
      <c r="IQ1" s="2"/>
      <c r="IR1" s="2"/>
      <c r="IS1" s="2"/>
      <c r="IT1" s="2"/>
      <c r="IU1" s="2"/>
      <c r="IV1" s="2"/>
    </row>
    <row r="2" spans="1:256" ht="18.75">
      <c r="A2" s="346"/>
      <c r="B2" s="190" t="s">
        <v>42</v>
      </c>
      <c r="C2" s="189"/>
      <c r="D2" s="189"/>
      <c r="E2" s="190" t="s">
        <v>1</v>
      </c>
      <c r="F2" s="508"/>
      <c r="G2" s="190"/>
      <c r="H2" s="190"/>
      <c r="I2" s="189"/>
      <c r="J2" s="190"/>
      <c r="K2" s="190" t="s">
        <v>171</v>
      </c>
      <c r="L2" s="189"/>
      <c r="M2" s="2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50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2"/>
      <c r="BD2" s="2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1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1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1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1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1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1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1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1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1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1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1"/>
      <c r="IP2" s="2"/>
      <c r="IQ2" s="2"/>
      <c r="IR2" s="2"/>
      <c r="IS2" s="2"/>
      <c r="IT2" s="2"/>
      <c r="IU2" s="2"/>
      <c r="IV2" s="2"/>
    </row>
    <row r="3" spans="1:256" ht="18.75">
      <c r="A3" s="346"/>
      <c r="B3" s="190" t="s">
        <v>5</v>
      </c>
      <c r="C3" s="189"/>
      <c r="D3" s="189"/>
      <c r="E3" s="190" t="s">
        <v>176</v>
      </c>
      <c r="F3" s="508"/>
      <c r="G3" s="190"/>
      <c r="H3" s="190"/>
      <c r="I3" s="189"/>
      <c r="J3" s="190"/>
      <c r="K3" s="190" t="s">
        <v>175</v>
      </c>
      <c r="L3" s="189"/>
      <c r="M3" s="2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50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2"/>
      <c r="BD3" s="2"/>
      <c r="BE3" s="1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1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1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1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1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1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1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1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1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1"/>
      <c r="IP3" s="2"/>
      <c r="IQ3" s="2"/>
      <c r="IR3" s="2"/>
      <c r="IS3" s="2"/>
      <c r="IT3" s="2"/>
      <c r="IU3" s="2"/>
      <c r="IV3" s="2"/>
    </row>
    <row r="4" spans="1:256" ht="33.75" customHeight="1">
      <c r="A4" s="346"/>
      <c r="B4" s="190" t="s">
        <v>172</v>
      </c>
      <c r="C4" s="189"/>
      <c r="D4" s="189"/>
      <c r="E4" s="190" t="s">
        <v>172</v>
      </c>
      <c r="F4" s="508"/>
      <c r="G4" s="190"/>
      <c r="H4" s="190"/>
      <c r="I4" s="189"/>
      <c r="J4" s="190"/>
      <c r="K4" s="190" t="s">
        <v>172</v>
      </c>
      <c r="L4" s="189"/>
      <c r="M4" s="2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2"/>
      <c r="BD4" s="2"/>
      <c r="BE4" s="1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1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1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1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1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1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1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1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1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1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1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1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"/>
      <c r="IP4" s="2"/>
      <c r="IQ4" s="2"/>
      <c r="IR4" s="2"/>
      <c r="IS4" s="2"/>
      <c r="IT4" s="2"/>
      <c r="IU4" s="2"/>
      <c r="IV4" s="2"/>
    </row>
    <row r="5" spans="1:256" ht="50.25" customHeight="1">
      <c r="A5" s="346"/>
      <c r="B5" s="189" t="s">
        <v>173</v>
      </c>
      <c r="C5" s="189"/>
      <c r="D5" s="189"/>
      <c r="E5" s="189" t="s">
        <v>174</v>
      </c>
      <c r="F5" s="514"/>
      <c r="G5" s="189"/>
      <c r="H5" s="189"/>
      <c r="I5" s="189"/>
      <c r="J5" s="190"/>
      <c r="K5" s="189" t="s">
        <v>174</v>
      </c>
      <c r="L5" s="189"/>
      <c r="M5" s="2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50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2"/>
      <c r="BD5" s="2"/>
      <c r="BE5" s="1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1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1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1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1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1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1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1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1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1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1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1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"/>
      <c r="IP5" s="2"/>
      <c r="IQ5" s="2"/>
      <c r="IR5" s="2"/>
      <c r="IS5" s="2"/>
      <c r="IT5" s="2"/>
      <c r="IU5" s="2"/>
      <c r="IV5" s="2"/>
    </row>
    <row r="7" spans="1:10" ht="18.75" customHeight="1">
      <c r="A7" s="347"/>
      <c r="B7" s="599" t="s">
        <v>170</v>
      </c>
      <c r="C7" s="599"/>
      <c r="D7" s="599"/>
      <c r="E7" s="599"/>
      <c r="F7" s="599"/>
      <c r="G7" s="599"/>
      <c r="H7" s="599"/>
      <c r="I7" s="491"/>
      <c r="J7" s="491"/>
    </row>
    <row r="8" ht="11.25" customHeight="1">
      <c r="A8" s="347"/>
    </row>
    <row r="9" spans="1:54" s="191" customFormat="1" ht="43.5" customHeight="1">
      <c r="A9" s="585" t="s">
        <v>4</v>
      </c>
      <c r="B9" s="585" t="s">
        <v>14</v>
      </c>
      <c r="C9" s="585" t="s">
        <v>15</v>
      </c>
      <c r="D9" s="585" t="s">
        <v>16</v>
      </c>
      <c r="E9" s="585" t="s">
        <v>17</v>
      </c>
      <c r="F9" s="585"/>
      <c r="G9" s="585" t="s">
        <v>18</v>
      </c>
      <c r="H9" s="585"/>
      <c r="I9" s="585" t="s">
        <v>181</v>
      </c>
      <c r="J9" s="585" t="s">
        <v>130</v>
      </c>
      <c r="K9" s="585"/>
      <c r="L9" s="585"/>
      <c r="M9" s="585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</row>
    <row r="10" spans="1:54" s="191" customFormat="1" ht="18.75" customHeight="1">
      <c r="A10" s="585"/>
      <c r="B10" s="585"/>
      <c r="C10" s="585"/>
      <c r="D10" s="585"/>
      <c r="E10" s="585"/>
      <c r="F10" s="585"/>
      <c r="G10" s="585" t="s">
        <v>77</v>
      </c>
      <c r="H10" s="585"/>
      <c r="I10" s="585"/>
      <c r="J10" s="585" t="s">
        <v>19</v>
      </c>
      <c r="K10" s="585"/>
      <c r="L10" s="585"/>
      <c r="M10" s="585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1"/>
      <c r="AS10" s="411"/>
      <c r="AT10" s="411"/>
      <c r="AU10" s="411"/>
      <c r="AV10" s="411"/>
      <c r="AW10" s="411"/>
      <c r="AX10" s="411"/>
      <c r="AY10" s="411"/>
      <c r="AZ10" s="411"/>
      <c r="BA10" s="411"/>
      <c r="BB10" s="411"/>
    </row>
    <row r="11" spans="1:54" s="191" customFormat="1" ht="18.75" customHeight="1">
      <c r="A11" s="585"/>
      <c r="B11" s="585"/>
      <c r="C11" s="585"/>
      <c r="D11" s="585"/>
      <c r="E11" s="452" t="s">
        <v>20</v>
      </c>
      <c r="F11" s="492" t="s">
        <v>21</v>
      </c>
      <c r="G11" s="585" t="s">
        <v>22</v>
      </c>
      <c r="H11" s="585" t="s">
        <v>23</v>
      </c>
      <c r="I11" s="585"/>
      <c r="J11" s="585"/>
      <c r="K11" s="585" t="s">
        <v>128</v>
      </c>
      <c r="L11" s="585" t="s">
        <v>129</v>
      </c>
      <c r="M11" s="585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411"/>
      <c r="AK11" s="411"/>
      <c r="AL11" s="411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</row>
    <row r="12" spans="1:54" s="191" customFormat="1" ht="18.75" customHeight="1">
      <c r="A12" s="585"/>
      <c r="B12" s="585"/>
      <c r="C12" s="585"/>
      <c r="D12" s="585"/>
      <c r="E12" s="452" t="s">
        <v>69</v>
      </c>
      <c r="F12" s="492" t="s">
        <v>69</v>
      </c>
      <c r="G12" s="585"/>
      <c r="H12" s="585"/>
      <c r="I12" s="585"/>
      <c r="J12" s="585"/>
      <c r="K12" s="585"/>
      <c r="L12" s="585"/>
      <c r="M12" s="585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</row>
    <row r="13" spans="1:54" s="191" customFormat="1" ht="118.5" customHeight="1">
      <c r="A13" s="585"/>
      <c r="B13" s="585"/>
      <c r="C13" s="585"/>
      <c r="D13" s="585"/>
      <c r="E13" s="452" t="s">
        <v>179</v>
      </c>
      <c r="F13" s="492" t="s">
        <v>179</v>
      </c>
      <c r="G13" s="585"/>
      <c r="H13" s="585"/>
      <c r="I13" s="585"/>
      <c r="J13" s="585"/>
      <c r="K13" s="585"/>
      <c r="L13" s="452" t="s">
        <v>24</v>
      </c>
      <c r="M13" s="452" t="s">
        <v>25</v>
      </c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</row>
    <row r="14" spans="1:54" s="191" customFormat="1" ht="18.75">
      <c r="A14" s="158">
        <v>1</v>
      </c>
      <c r="B14" s="158">
        <v>2</v>
      </c>
      <c r="C14" s="158">
        <v>3</v>
      </c>
      <c r="D14" s="496">
        <v>4</v>
      </c>
      <c r="E14" s="158">
        <v>5</v>
      </c>
      <c r="F14" s="496">
        <v>6</v>
      </c>
      <c r="G14" s="496">
        <v>7</v>
      </c>
      <c r="H14" s="158">
        <v>8</v>
      </c>
      <c r="I14" s="496">
        <v>9</v>
      </c>
      <c r="J14" s="192">
        <v>10</v>
      </c>
      <c r="K14" s="158">
        <v>11</v>
      </c>
      <c r="L14" s="158">
        <v>12</v>
      </c>
      <c r="M14" s="158">
        <v>13</v>
      </c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</row>
    <row r="15" spans="1:13" ht="23.25" customHeight="1">
      <c r="A15" s="592" t="s">
        <v>26</v>
      </c>
      <c r="B15" s="592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</row>
    <row r="16" spans="1:13" ht="37.5" customHeight="1">
      <c r="A16" s="459">
        <v>1</v>
      </c>
      <c r="B16" s="424" t="s">
        <v>125</v>
      </c>
      <c r="C16" s="455">
        <v>565</v>
      </c>
      <c r="D16" s="493">
        <v>565</v>
      </c>
      <c r="E16" s="432" t="s">
        <v>155</v>
      </c>
      <c r="F16" s="495" t="s">
        <v>158</v>
      </c>
      <c r="G16" s="494">
        <v>164058</v>
      </c>
      <c r="H16" s="448">
        <v>136000</v>
      </c>
      <c r="I16" s="494">
        <v>0</v>
      </c>
      <c r="J16" s="494">
        <f>K16+L16+M16</f>
        <v>136000</v>
      </c>
      <c r="K16" s="457">
        <v>0</v>
      </c>
      <c r="L16" s="457">
        <v>0</v>
      </c>
      <c r="M16" s="494">
        <v>136000</v>
      </c>
    </row>
    <row r="17" spans="1:13" ht="38.25" customHeight="1">
      <c r="A17" s="459">
        <v>2</v>
      </c>
      <c r="B17" s="424" t="s">
        <v>124</v>
      </c>
      <c r="C17" s="455">
        <v>1224</v>
      </c>
      <c r="D17" s="493">
        <v>1224</v>
      </c>
      <c r="E17" s="432" t="s">
        <v>155</v>
      </c>
      <c r="F17" s="495" t="s">
        <v>158</v>
      </c>
      <c r="G17" s="494">
        <v>58026</v>
      </c>
      <c r="H17" s="448">
        <v>52225</v>
      </c>
      <c r="I17" s="494">
        <v>0</v>
      </c>
      <c r="J17" s="494">
        <f aca="true" t="shared" si="0" ref="J17:J21">K17+L17+M17</f>
        <v>52225</v>
      </c>
      <c r="K17" s="457">
        <v>0</v>
      </c>
      <c r="L17" s="457">
        <v>0</v>
      </c>
      <c r="M17" s="494">
        <v>52225</v>
      </c>
    </row>
    <row r="18" spans="1:13" ht="43.5" customHeight="1">
      <c r="A18" s="459">
        <v>3</v>
      </c>
      <c r="B18" s="463" t="s">
        <v>126</v>
      </c>
      <c r="C18" s="455">
        <v>1745</v>
      </c>
      <c r="D18" s="493">
        <v>1745</v>
      </c>
      <c r="E18" s="432" t="s">
        <v>157</v>
      </c>
      <c r="F18" s="495" t="s">
        <v>169</v>
      </c>
      <c r="G18" s="494">
        <v>147749</v>
      </c>
      <c r="H18" s="448">
        <v>129000</v>
      </c>
      <c r="I18" s="494">
        <v>0</v>
      </c>
      <c r="J18" s="494">
        <f t="shared" si="0"/>
        <v>129000</v>
      </c>
      <c r="K18" s="457">
        <v>0</v>
      </c>
      <c r="L18" s="494">
        <v>129000</v>
      </c>
      <c r="M18" s="457">
        <v>0</v>
      </c>
    </row>
    <row r="19" spans="1:14" ht="39" customHeight="1">
      <c r="A19" s="459">
        <v>4</v>
      </c>
      <c r="B19" s="463" t="s">
        <v>127</v>
      </c>
      <c r="C19" s="455">
        <v>1683</v>
      </c>
      <c r="D19" s="493">
        <v>1683</v>
      </c>
      <c r="E19" s="432" t="s">
        <v>158</v>
      </c>
      <c r="F19" s="495" t="s">
        <v>160</v>
      </c>
      <c r="G19" s="494">
        <v>66000.28</v>
      </c>
      <c r="H19" s="448">
        <v>53000</v>
      </c>
      <c r="I19" s="494">
        <v>0</v>
      </c>
      <c r="J19" s="494">
        <f t="shared" si="0"/>
        <v>53000</v>
      </c>
      <c r="K19" s="457">
        <v>0</v>
      </c>
      <c r="L19" s="457">
        <v>0</v>
      </c>
      <c r="M19" s="494">
        <v>53000</v>
      </c>
      <c r="N19" s="251"/>
    </row>
    <row r="20" spans="1:14" ht="39" customHeight="1">
      <c r="A20" s="459">
        <v>5</v>
      </c>
      <c r="B20" s="463" t="s">
        <v>168</v>
      </c>
      <c r="C20" s="484">
        <v>554</v>
      </c>
      <c r="D20" s="493">
        <v>554</v>
      </c>
      <c r="E20" s="486" t="s">
        <v>156</v>
      </c>
      <c r="F20" s="495" t="s">
        <v>158</v>
      </c>
      <c r="G20" s="485">
        <v>160000</v>
      </c>
      <c r="H20" s="485">
        <v>149207.56</v>
      </c>
      <c r="I20" s="494">
        <v>0</v>
      </c>
      <c r="J20" s="494">
        <f t="shared" si="0"/>
        <v>149207.56</v>
      </c>
      <c r="K20" s="457">
        <v>0</v>
      </c>
      <c r="L20" s="457">
        <v>0</v>
      </c>
      <c r="M20" s="494">
        <v>149207.56</v>
      </c>
      <c r="N20" s="251"/>
    </row>
    <row r="21" spans="1:14" ht="59.25" customHeight="1">
      <c r="A21" s="459">
        <v>6</v>
      </c>
      <c r="B21" s="490" t="s">
        <v>178</v>
      </c>
      <c r="C21" s="493" t="s">
        <v>39</v>
      </c>
      <c r="D21" s="493" t="s">
        <v>39</v>
      </c>
      <c r="E21" s="495" t="s">
        <v>160</v>
      </c>
      <c r="F21" s="495" t="s">
        <v>177</v>
      </c>
      <c r="G21" s="494">
        <v>63461</v>
      </c>
      <c r="H21" s="494">
        <v>63461</v>
      </c>
      <c r="I21" s="494">
        <v>0</v>
      </c>
      <c r="J21" s="494">
        <f t="shared" si="0"/>
        <v>63461</v>
      </c>
      <c r="K21" s="457">
        <v>0</v>
      </c>
      <c r="L21" s="457">
        <v>63461</v>
      </c>
      <c r="M21" s="494">
        <v>0</v>
      </c>
      <c r="N21" s="251"/>
    </row>
    <row r="22" spans="1:15" ht="27.75" customHeight="1">
      <c r="A22" s="585" t="s">
        <v>146</v>
      </c>
      <c r="B22" s="585"/>
      <c r="C22" s="464">
        <f>SUM(C16:C21)</f>
        <v>5771</v>
      </c>
      <c r="D22" s="464">
        <f>SUM(D16:D21)</f>
        <v>5771</v>
      </c>
      <c r="E22" s="454" t="s">
        <v>134</v>
      </c>
      <c r="F22" s="497" t="s">
        <v>134</v>
      </c>
      <c r="G22" s="497">
        <f aca="true" t="shared" si="1" ref="G22:H22">SUM(G16:G21)</f>
        <v>659294.28</v>
      </c>
      <c r="H22" s="454">
        <f t="shared" si="1"/>
        <v>582893.56</v>
      </c>
      <c r="I22" s="454">
        <f>SUM(I16:I21)</f>
        <v>0</v>
      </c>
      <c r="J22" s="497">
        <f>SUM(J16:J21)</f>
        <v>582893.56</v>
      </c>
      <c r="K22" s="497">
        <f>SUM(K16:K21)</f>
        <v>0</v>
      </c>
      <c r="L22" s="497">
        <f>SUM(L16:L21)</f>
        <v>192461</v>
      </c>
      <c r="M22" s="497">
        <f>SUM(M16:M21)</f>
        <v>390432.56</v>
      </c>
      <c r="N22" s="252"/>
      <c r="O22" s="154"/>
    </row>
    <row r="23" spans="1:45" s="428" customFormat="1" ht="25.5" customHeight="1">
      <c r="A23" s="593" t="s">
        <v>28</v>
      </c>
      <c r="B23" s="593"/>
      <c r="C23" s="593"/>
      <c r="D23" s="593"/>
      <c r="E23" s="593"/>
      <c r="F23" s="593"/>
      <c r="G23" s="593"/>
      <c r="H23" s="593"/>
      <c r="I23" s="593"/>
      <c r="J23" s="593"/>
      <c r="K23" s="593"/>
      <c r="L23" s="593"/>
      <c r="M23" s="593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</row>
    <row r="24" spans="1:45" s="428" customFormat="1" ht="57.75" customHeight="1">
      <c r="A24" s="425">
        <v>1</v>
      </c>
      <c r="B24" s="447" t="s">
        <v>133</v>
      </c>
      <c r="C24" s="455">
        <v>901</v>
      </c>
      <c r="D24" s="425" t="s">
        <v>134</v>
      </c>
      <c r="E24" s="432" t="s">
        <v>154</v>
      </c>
      <c r="F24" s="495" t="s">
        <v>155</v>
      </c>
      <c r="G24" s="448">
        <v>67822.22</v>
      </c>
      <c r="H24" s="448">
        <v>61040</v>
      </c>
      <c r="I24" s="433" t="s">
        <v>134</v>
      </c>
      <c r="J24" s="457">
        <v>45503.72</v>
      </c>
      <c r="K24" s="457">
        <v>0</v>
      </c>
      <c r="L24" s="457">
        <v>0</v>
      </c>
      <c r="M24" s="457">
        <v>45503.72</v>
      </c>
      <c r="N24" s="427">
        <v>8457.33</v>
      </c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</row>
    <row r="25" spans="1:37" s="430" customFormat="1" ht="36.75" customHeight="1">
      <c r="A25" s="585" t="s">
        <v>147</v>
      </c>
      <c r="B25" s="585"/>
      <c r="C25" s="465">
        <f>SUM(C24)</f>
        <v>901</v>
      </c>
      <c r="D25" s="499" t="s">
        <v>134</v>
      </c>
      <c r="E25" s="499" t="s">
        <v>134</v>
      </c>
      <c r="F25" s="499" t="s">
        <v>134</v>
      </c>
      <c r="G25" s="426">
        <f>SUM(G24)</f>
        <v>67822.22</v>
      </c>
      <c r="H25" s="426">
        <f>SUM(H24)</f>
        <v>61040</v>
      </c>
      <c r="I25" s="434" t="s">
        <v>134</v>
      </c>
      <c r="J25" s="512">
        <f>J24</f>
        <v>45503.72</v>
      </c>
      <c r="K25" s="512">
        <f>K24</f>
        <v>0</v>
      </c>
      <c r="L25" s="512">
        <f>L24</f>
        <v>0</v>
      </c>
      <c r="M25" s="512">
        <f>M24</f>
        <v>45503.72</v>
      </c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29"/>
      <c r="AK25" s="429"/>
    </row>
    <row r="26" spans="1:37" s="430" customFormat="1" ht="27" customHeight="1">
      <c r="A26" s="594" t="s">
        <v>139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6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29"/>
    </row>
    <row r="27" spans="1:37" s="430" customFormat="1" ht="51.75" customHeight="1">
      <c r="A27" s="459">
        <v>1</v>
      </c>
      <c r="B27" s="424" t="s">
        <v>140</v>
      </c>
      <c r="C27" s="478">
        <v>1266</v>
      </c>
      <c r="D27" s="494" t="s">
        <v>134</v>
      </c>
      <c r="E27" s="480" t="s">
        <v>142</v>
      </c>
      <c r="F27" s="495" t="s">
        <v>155</v>
      </c>
      <c r="G27" s="494">
        <v>213131</v>
      </c>
      <c r="H27" s="479">
        <v>179000.76</v>
      </c>
      <c r="I27" s="494">
        <v>155991.63</v>
      </c>
      <c r="J27" s="494">
        <f aca="true" t="shared" si="2" ref="J27:J30">K27+L27+M27</f>
        <v>7103</v>
      </c>
      <c r="K27" s="457">
        <v>0</v>
      </c>
      <c r="L27" s="457">
        <v>0</v>
      </c>
      <c r="M27" s="494">
        <v>7103</v>
      </c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</row>
    <row r="28" spans="1:37" s="430" customFormat="1" ht="45.75" customHeight="1">
      <c r="A28" s="459">
        <v>2</v>
      </c>
      <c r="B28" s="424" t="s">
        <v>141</v>
      </c>
      <c r="C28" s="478">
        <v>1717</v>
      </c>
      <c r="D28" s="494" t="s">
        <v>134</v>
      </c>
      <c r="E28" s="480" t="s">
        <v>142</v>
      </c>
      <c r="F28" s="495" t="s">
        <v>155</v>
      </c>
      <c r="G28" s="479">
        <v>127776</v>
      </c>
      <c r="H28" s="479">
        <v>127776</v>
      </c>
      <c r="I28" s="479">
        <v>113463.31</v>
      </c>
      <c r="J28" s="494">
        <f t="shared" si="2"/>
        <v>1776</v>
      </c>
      <c r="K28" s="457">
        <v>0</v>
      </c>
      <c r="L28" s="457">
        <v>0</v>
      </c>
      <c r="M28" s="494">
        <v>1776</v>
      </c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</row>
    <row r="29" spans="1:37" s="430" customFormat="1" ht="45.75" customHeight="1">
      <c r="A29" s="459">
        <v>3</v>
      </c>
      <c r="B29" s="424" t="s">
        <v>163</v>
      </c>
      <c r="C29" s="478">
        <v>715</v>
      </c>
      <c r="D29" s="494" t="s">
        <v>134</v>
      </c>
      <c r="E29" s="480" t="s">
        <v>142</v>
      </c>
      <c r="F29" s="495" t="s">
        <v>155</v>
      </c>
      <c r="G29" s="479">
        <v>197787</v>
      </c>
      <c r="H29" s="479">
        <v>150233.31</v>
      </c>
      <c r="I29" s="479">
        <f>H29-J29</f>
        <v>136368.01</v>
      </c>
      <c r="J29" s="494">
        <f t="shared" si="2"/>
        <v>13865.3</v>
      </c>
      <c r="K29" s="457">
        <v>0</v>
      </c>
      <c r="L29" s="457">
        <v>0</v>
      </c>
      <c r="M29" s="494">
        <v>13865.3</v>
      </c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</row>
    <row r="30" spans="1:37" s="430" customFormat="1" ht="45.75" customHeight="1">
      <c r="A30" s="459">
        <v>4</v>
      </c>
      <c r="B30" s="424" t="s">
        <v>143</v>
      </c>
      <c r="C30" s="478">
        <v>514</v>
      </c>
      <c r="D30" s="494" t="s">
        <v>134</v>
      </c>
      <c r="E30" s="480" t="s">
        <v>142</v>
      </c>
      <c r="F30" s="495" t="s">
        <v>155</v>
      </c>
      <c r="G30" s="494">
        <v>174628</v>
      </c>
      <c r="H30" s="479">
        <v>163707.76</v>
      </c>
      <c r="I30" s="494">
        <v>137740.73</v>
      </c>
      <c r="J30" s="494">
        <f t="shared" si="2"/>
        <v>12332</v>
      </c>
      <c r="K30" s="457">
        <v>0</v>
      </c>
      <c r="L30" s="457">
        <v>0</v>
      </c>
      <c r="M30" s="494">
        <v>12332</v>
      </c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</row>
    <row r="31" spans="1:13" s="15" customFormat="1" ht="50.25" customHeight="1">
      <c r="A31" s="459">
        <v>5</v>
      </c>
      <c r="B31" s="490" t="s">
        <v>167</v>
      </c>
      <c r="C31" s="455">
        <v>810</v>
      </c>
      <c r="D31" s="494" t="s">
        <v>134</v>
      </c>
      <c r="E31" s="432" t="s">
        <v>160</v>
      </c>
      <c r="F31" s="495" t="s">
        <v>180</v>
      </c>
      <c r="G31" s="448">
        <v>719617</v>
      </c>
      <c r="H31" s="494">
        <v>719617</v>
      </c>
      <c r="I31" s="494">
        <v>0</v>
      </c>
      <c r="J31" s="494">
        <f>K31+L31+M31</f>
        <v>68821.44</v>
      </c>
      <c r="K31" s="457">
        <v>0</v>
      </c>
      <c r="L31" s="457">
        <v>68821.44</v>
      </c>
      <c r="M31" s="494">
        <v>0</v>
      </c>
    </row>
    <row r="32" spans="1:37" s="430" customFormat="1" ht="27" customHeight="1">
      <c r="A32" s="598" t="s">
        <v>148</v>
      </c>
      <c r="B32" s="598"/>
      <c r="C32" s="465">
        <f>SUM(C27:C31)</f>
        <v>5022</v>
      </c>
      <c r="D32" s="483" t="s">
        <v>134</v>
      </c>
      <c r="E32" s="499" t="s">
        <v>134</v>
      </c>
      <c r="F32" s="499" t="s">
        <v>134</v>
      </c>
      <c r="G32" s="426">
        <f>SUM(G27:G31)</f>
        <v>1432939</v>
      </c>
      <c r="H32" s="426">
        <f aca="true" t="shared" si="3" ref="H32:I32">SUM(H27:H31)</f>
        <v>1340334.83</v>
      </c>
      <c r="I32" s="426">
        <f t="shared" si="3"/>
        <v>543563.68</v>
      </c>
      <c r="J32" s="426">
        <f>SUM(J27:J31)</f>
        <v>103897.74</v>
      </c>
      <c r="K32" s="426">
        <f>SUM(K27:K31)</f>
        <v>0</v>
      </c>
      <c r="L32" s="426">
        <f>SUM(L27:L31)</f>
        <v>68821.44</v>
      </c>
      <c r="M32" s="426">
        <f>SUM(M27:M31)</f>
        <v>35076.3</v>
      </c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</row>
    <row r="33" spans="1:13" ht="22.5" customHeight="1">
      <c r="A33" s="597" t="s">
        <v>51</v>
      </c>
      <c r="B33" s="597"/>
      <c r="C33" s="597"/>
      <c r="D33" s="597"/>
      <c r="E33" s="597"/>
      <c r="F33" s="597"/>
      <c r="G33" s="597"/>
      <c r="H33" s="597"/>
      <c r="I33" s="597"/>
      <c r="J33" s="597"/>
      <c r="K33" s="597"/>
      <c r="L33" s="597"/>
      <c r="M33" s="597"/>
    </row>
    <row r="34" spans="1:13" ht="36.75" customHeight="1">
      <c r="A34" s="459">
        <v>1</v>
      </c>
      <c r="B34" s="424" t="s">
        <v>125</v>
      </c>
      <c r="C34" s="500" t="s">
        <v>134</v>
      </c>
      <c r="D34" s="500" t="s">
        <v>134</v>
      </c>
      <c r="E34" s="513" t="s">
        <v>153</v>
      </c>
      <c r="F34" s="495" t="s">
        <v>154</v>
      </c>
      <c r="G34" s="498" t="s">
        <v>134</v>
      </c>
      <c r="H34" s="494" t="s">
        <v>134</v>
      </c>
      <c r="I34" s="494" t="s">
        <v>134</v>
      </c>
      <c r="J34" s="494">
        <f>SUM(K34:M34)</f>
        <v>12500</v>
      </c>
      <c r="K34" s="494">
        <v>0</v>
      </c>
      <c r="L34" s="494">
        <v>0</v>
      </c>
      <c r="M34" s="494">
        <v>12500</v>
      </c>
    </row>
    <row r="35" spans="1:13" ht="36.75" customHeight="1">
      <c r="A35" s="459">
        <v>2</v>
      </c>
      <c r="B35" s="424" t="s">
        <v>124</v>
      </c>
      <c r="C35" s="500" t="s">
        <v>134</v>
      </c>
      <c r="D35" s="500" t="s">
        <v>134</v>
      </c>
      <c r="E35" s="513" t="s">
        <v>153</v>
      </c>
      <c r="F35" s="495" t="s">
        <v>154</v>
      </c>
      <c r="G35" s="498" t="s">
        <v>134</v>
      </c>
      <c r="H35" s="494" t="s">
        <v>134</v>
      </c>
      <c r="I35" s="494" t="s">
        <v>134</v>
      </c>
      <c r="J35" s="494">
        <f aca="true" t="shared" si="4" ref="J35:J45">SUM(K35:M35)</f>
        <v>14550</v>
      </c>
      <c r="K35" s="494">
        <v>0</v>
      </c>
      <c r="L35" s="494">
        <v>0</v>
      </c>
      <c r="M35" s="494">
        <v>14550</v>
      </c>
    </row>
    <row r="36" spans="1:13" ht="53.25" customHeight="1">
      <c r="A36" s="459">
        <v>3</v>
      </c>
      <c r="B36" s="463" t="s">
        <v>126</v>
      </c>
      <c r="C36" s="500" t="s">
        <v>134</v>
      </c>
      <c r="D36" s="500" t="s">
        <v>134</v>
      </c>
      <c r="E36" s="513" t="s">
        <v>153</v>
      </c>
      <c r="F36" s="495" t="s">
        <v>159</v>
      </c>
      <c r="G36" s="498" t="s">
        <v>134</v>
      </c>
      <c r="H36" s="494" t="s">
        <v>134</v>
      </c>
      <c r="I36" s="494" t="s">
        <v>134</v>
      </c>
      <c r="J36" s="494">
        <f t="shared" si="4"/>
        <v>14981.8</v>
      </c>
      <c r="K36" s="494">
        <v>0</v>
      </c>
      <c r="L36" s="494">
        <v>0</v>
      </c>
      <c r="M36" s="494">
        <v>14981.8</v>
      </c>
    </row>
    <row r="37" spans="1:13" ht="41.25" customHeight="1">
      <c r="A37" s="459">
        <v>4</v>
      </c>
      <c r="B37" s="424" t="s">
        <v>132</v>
      </c>
      <c r="C37" s="500" t="s">
        <v>134</v>
      </c>
      <c r="D37" s="500" t="s">
        <v>134</v>
      </c>
      <c r="E37" s="513" t="s">
        <v>153</v>
      </c>
      <c r="F37" s="495" t="s">
        <v>159</v>
      </c>
      <c r="G37" s="498" t="s">
        <v>134</v>
      </c>
      <c r="H37" s="494" t="s">
        <v>134</v>
      </c>
      <c r="I37" s="494" t="s">
        <v>134</v>
      </c>
      <c r="J37" s="494">
        <f t="shared" si="4"/>
        <v>14782.36</v>
      </c>
      <c r="K37" s="494">
        <v>0</v>
      </c>
      <c r="L37" s="494">
        <v>0</v>
      </c>
      <c r="M37" s="494">
        <v>14782.36</v>
      </c>
    </row>
    <row r="38" spans="1:13" ht="40.5" customHeight="1">
      <c r="A38" s="459">
        <v>5</v>
      </c>
      <c r="B38" s="424" t="s">
        <v>131</v>
      </c>
      <c r="C38" s="500" t="s">
        <v>134</v>
      </c>
      <c r="D38" s="500" t="s">
        <v>134</v>
      </c>
      <c r="E38" s="495" t="s">
        <v>153</v>
      </c>
      <c r="F38" s="495" t="s">
        <v>169</v>
      </c>
      <c r="G38" s="494" t="s">
        <v>134</v>
      </c>
      <c r="H38" s="494" t="s">
        <v>134</v>
      </c>
      <c r="I38" s="494" t="s">
        <v>134</v>
      </c>
      <c r="J38" s="494">
        <f t="shared" si="4"/>
        <v>13500</v>
      </c>
      <c r="K38" s="494">
        <v>0</v>
      </c>
      <c r="L38" s="494">
        <v>0</v>
      </c>
      <c r="M38" s="494">
        <v>13500</v>
      </c>
    </row>
    <row r="39" spans="1:13" ht="40.5" customHeight="1">
      <c r="A39" s="459">
        <v>6</v>
      </c>
      <c r="B39" s="424" t="s">
        <v>144</v>
      </c>
      <c r="C39" s="500" t="s">
        <v>134</v>
      </c>
      <c r="D39" s="500" t="s">
        <v>134</v>
      </c>
      <c r="E39" s="495" t="s">
        <v>155</v>
      </c>
      <c r="F39" s="495" t="s">
        <v>156</v>
      </c>
      <c r="G39" s="494" t="s">
        <v>134</v>
      </c>
      <c r="H39" s="494" t="s">
        <v>134</v>
      </c>
      <c r="I39" s="494" t="s">
        <v>134</v>
      </c>
      <c r="J39" s="494">
        <f t="shared" si="4"/>
        <v>8893.89</v>
      </c>
      <c r="K39" s="494">
        <v>0</v>
      </c>
      <c r="L39" s="494">
        <v>8893.89</v>
      </c>
      <c r="M39" s="494">
        <v>0</v>
      </c>
    </row>
    <row r="40" spans="1:13" ht="40.5" customHeight="1">
      <c r="A40" s="459">
        <v>7</v>
      </c>
      <c r="B40" s="424" t="s">
        <v>145</v>
      </c>
      <c r="C40" s="500" t="s">
        <v>134</v>
      </c>
      <c r="D40" s="500" t="s">
        <v>134</v>
      </c>
      <c r="E40" s="495" t="s">
        <v>155</v>
      </c>
      <c r="F40" s="495" t="s">
        <v>156</v>
      </c>
      <c r="G40" s="498" t="s">
        <v>134</v>
      </c>
      <c r="H40" s="494" t="s">
        <v>134</v>
      </c>
      <c r="I40" s="494" t="s">
        <v>134</v>
      </c>
      <c r="J40" s="494">
        <f t="shared" si="4"/>
        <v>8893.89</v>
      </c>
      <c r="K40" s="494">
        <v>0</v>
      </c>
      <c r="L40" s="494">
        <v>8893.89</v>
      </c>
      <c r="M40" s="494">
        <v>0</v>
      </c>
    </row>
    <row r="41" spans="1:13" ht="40.5" customHeight="1">
      <c r="A41" s="459">
        <v>8</v>
      </c>
      <c r="B41" s="424" t="s">
        <v>161</v>
      </c>
      <c r="C41" s="500" t="s">
        <v>134</v>
      </c>
      <c r="D41" s="500" t="s">
        <v>134</v>
      </c>
      <c r="E41" s="495" t="s">
        <v>155</v>
      </c>
      <c r="F41" s="495" t="s">
        <v>159</v>
      </c>
      <c r="G41" s="494" t="s">
        <v>134</v>
      </c>
      <c r="H41" s="494" t="s">
        <v>134</v>
      </c>
      <c r="I41" s="494" t="s">
        <v>134</v>
      </c>
      <c r="J41" s="494">
        <f t="shared" si="4"/>
        <v>15130</v>
      </c>
      <c r="K41" s="494">
        <v>0</v>
      </c>
      <c r="L41" s="494">
        <v>0</v>
      </c>
      <c r="M41" s="494">
        <f>19130-4000</f>
        <v>15130</v>
      </c>
    </row>
    <row r="42" spans="1:13" ht="51.75" customHeight="1">
      <c r="A42" s="459">
        <v>9</v>
      </c>
      <c r="B42" s="424" t="s">
        <v>167</v>
      </c>
      <c r="C42" s="500" t="s">
        <v>134</v>
      </c>
      <c r="D42" s="500" t="s">
        <v>134</v>
      </c>
      <c r="E42" s="495" t="s">
        <v>154</v>
      </c>
      <c r="F42" s="495" t="s">
        <v>158</v>
      </c>
      <c r="G42" s="494" t="s">
        <v>134</v>
      </c>
      <c r="H42" s="494" t="s">
        <v>134</v>
      </c>
      <c r="I42" s="494" t="s">
        <v>134</v>
      </c>
      <c r="J42" s="494">
        <f t="shared" si="4"/>
        <v>29000</v>
      </c>
      <c r="K42" s="494">
        <v>0</v>
      </c>
      <c r="L42" s="494">
        <v>0</v>
      </c>
      <c r="M42" s="494">
        <f>30000-1000</f>
        <v>29000</v>
      </c>
    </row>
    <row r="43" spans="1:13" ht="41.25" customHeight="1">
      <c r="A43" s="459">
        <v>10</v>
      </c>
      <c r="B43" s="424" t="s">
        <v>133</v>
      </c>
      <c r="C43" s="500" t="s">
        <v>134</v>
      </c>
      <c r="D43" s="500" t="s">
        <v>134</v>
      </c>
      <c r="E43" s="432" t="s">
        <v>164</v>
      </c>
      <c r="F43" s="495" t="s">
        <v>155</v>
      </c>
      <c r="G43" s="425" t="s">
        <v>134</v>
      </c>
      <c r="H43" s="448" t="s">
        <v>134</v>
      </c>
      <c r="I43" s="448" t="s">
        <v>134</v>
      </c>
      <c r="J43" s="494">
        <f t="shared" si="4"/>
        <v>8457.32</v>
      </c>
      <c r="K43" s="494">
        <v>0</v>
      </c>
      <c r="L43" s="494">
        <v>0</v>
      </c>
      <c r="M43" s="494">
        <v>8457.32</v>
      </c>
    </row>
    <row r="44" spans="1:13" ht="41.25" customHeight="1">
      <c r="A44" s="459">
        <v>11</v>
      </c>
      <c r="B44" s="424" t="s">
        <v>165</v>
      </c>
      <c r="C44" s="500" t="s">
        <v>134</v>
      </c>
      <c r="D44" s="500" t="s">
        <v>134</v>
      </c>
      <c r="E44" s="486" t="s">
        <v>156</v>
      </c>
      <c r="F44" s="495" t="s">
        <v>169</v>
      </c>
      <c r="G44" s="487" t="s">
        <v>134</v>
      </c>
      <c r="H44" s="485" t="s">
        <v>134</v>
      </c>
      <c r="I44" s="485" t="s">
        <v>134</v>
      </c>
      <c r="J44" s="494">
        <f t="shared" si="4"/>
        <v>12213</v>
      </c>
      <c r="K44" s="494">
        <v>0</v>
      </c>
      <c r="L44" s="494">
        <v>0</v>
      </c>
      <c r="M44" s="494">
        <v>12213</v>
      </c>
    </row>
    <row r="45" spans="1:13" ht="41.25" customHeight="1">
      <c r="A45" s="459">
        <v>12</v>
      </c>
      <c r="B45" s="424" t="s">
        <v>166</v>
      </c>
      <c r="C45" s="500" t="s">
        <v>134</v>
      </c>
      <c r="D45" s="500" t="s">
        <v>134</v>
      </c>
      <c r="E45" s="486" t="s">
        <v>156</v>
      </c>
      <c r="F45" s="495" t="s">
        <v>169</v>
      </c>
      <c r="G45" s="487" t="s">
        <v>134</v>
      </c>
      <c r="H45" s="485" t="s">
        <v>134</v>
      </c>
      <c r="I45" s="485" t="s">
        <v>134</v>
      </c>
      <c r="J45" s="494">
        <f t="shared" si="4"/>
        <v>29468.63</v>
      </c>
      <c r="K45" s="494">
        <v>0</v>
      </c>
      <c r="L45" s="494">
        <v>0</v>
      </c>
      <c r="M45" s="494">
        <v>29468.63</v>
      </c>
    </row>
    <row r="46" spans="1:256" s="411" customFormat="1" ht="25.5" customHeight="1">
      <c r="A46" s="590" t="s">
        <v>149</v>
      </c>
      <c r="B46" s="591"/>
      <c r="C46" s="483" t="s">
        <v>134</v>
      </c>
      <c r="D46" s="483" t="s">
        <v>134</v>
      </c>
      <c r="E46" s="492" t="s">
        <v>134</v>
      </c>
      <c r="F46" s="492" t="s">
        <v>134</v>
      </c>
      <c r="G46" s="492" t="s">
        <v>134</v>
      </c>
      <c r="H46" s="492" t="s">
        <v>134</v>
      </c>
      <c r="I46" s="506" t="s">
        <v>134</v>
      </c>
      <c r="J46" s="497">
        <f>SUM(J34:J45)</f>
        <v>182370.89</v>
      </c>
      <c r="K46" s="497">
        <f>SUM(K34:K45)</f>
        <v>0</v>
      </c>
      <c r="L46" s="497">
        <f>SUM(L34:L45)</f>
        <v>17787.78</v>
      </c>
      <c r="M46" s="497">
        <f>SUM(M34:M45)</f>
        <v>164583.11000000002</v>
      </c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</row>
    <row r="47" spans="1:13" ht="22.5" customHeight="1">
      <c r="A47" s="597" t="s">
        <v>29</v>
      </c>
      <c r="B47" s="597"/>
      <c r="C47" s="597"/>
      <c r="D47" s="597"/>
      <c r="E47" s="597"/>
      <c r="F47" s="597"/>
      <c r="G47" s="597"/>
      <c r="H47" s="597"/>
      <c r="I47" s="597"/>
      <c r="J47" s="597"/>
      <c r="K47" s="597"/>
      <c r="L47" s="597"/>
      <c r="M47" s="597"/>
    </row>
    <row r="48" spans="1:13" ht="39" customHeight="1">
      <c r="A48" s="13">
        <v>1</v>
      </c>
      <c r="B48" s="424" t="s">
        <v>125</v>
      </c>
      <c r="C48" s="442" t="s">
        <v>134</v>
      </c>
      <c r="D48" s="501" t="s">
        <v>134</v>
      </c>
      <c r="E48" s="456" t="s">
        <v>134</v>
      </c>
      <c r="F48" s="502" t="s">
        <v>134</v>
      </c>
      <c r="G48" s="501" t="s">
        <v>134</v>
      </c>
      <c r="H48" s="442" t="s">
        <v>134</v>
      </c>
      <c r="I48" s="501" t="s">
        <v>134</v>
      </c>
      <c r="J48" s="501">
        <f>SUM(K48:M48)</f>
        <v>2744.76</v>
      </c>
      <c r="K48" s="501">
        <v>0</v>
      </c>
      <c r="L48" s="501">
        <v>0</v>
      </c>
      <c r="M48" s="501">
        <v>2744.76</v>
      </c>
    </row>
    <row r="49" spans="1:13" ht="36" customHeight="1">
      <c r="A49" s="13">
        <v>2</v>
      </c>
      <c r="B49" s="424" t="s">
        <v>124</v>
      </c>
      <c r="C49" s="442" t="s">
        <v>134</v>
      </c>
      <c r="D49" s="501" t="s">
        <v>134</v>
      </c>
      <c r="E49" s="456" t="s">
        <v>134</v>
      </c>
      <c r="F49" s="502" t="s">
        <v>134</v>
      </c>
      <c r="G49" s="442" t="s">
        <v>134</v>
      </c>
      <c r="H49" s="442" t="s">
        <v>134</v>
      </c>
      <c r="I49" s="442" t="s">
        <v>134</v>
      </c>
      <c r="J49" s="501">
        <f aca="true" t="shared" si="5" ref="J49:J57">SUM(K49:M49)</f>
        <v>2969.58</v>
      </c>
      <c r="K49" s="501">
        <v>0</v>
      </c>
      <c r="L49" s="501">
        <v>0</v>
      </c>
      <c r="M49" s="501">
        <v>2969.58</v>
      </c>
    </row>
    <row r="50" spans="1:13" ht="42.75" customHeight="1">
      <c r="A50" s="13">
        <v>3</v>
      </c>
      <c r="B50" s="463" t="s">
        <v>126</v>
      </c>
      <c r="C50" s="442" t="s">
        <v>134</v>
      </c>
      <c r="D50" s="501" t="s">
        <v>134</v>
      </c>
      <c r="E50" s="456" t="s">
        <v>134</v>
      </c>
      <c r="F50" s="502" t="s">
        <v>134</v>
      </c>
      <c r="G50" s="501" t="s">
        <v>134</v>
      </c>
      <c r="H50" s="442" t="s">
        <v>134</v>
      </c>
      <c r="I50" s="501" t="s">
        <v>134</v>
      </c>
      <c r="J50" s="501">
        <f t="shared" si="5"/>
        <v>4242.78</v>
      </c>
      <c r="K50" s="501">
        <v>0</v>
      </c>
      <c r="L50" s="501">
        <v>4242.78</v>
      </c>
      <c r="M50" s="501">
        <v>0</v>
      </c>
    </row>
    <row r="51" spans="1:13" ht="42.75" customHeight="1">
      <c r="A51" s="13">
        <v>4</v>
      </c>
      <c r="B51" s="424" t="s">
        <v>132</v>
      </c>
      <c r="C51" s="442" t="s">
        <v>134</v>
      </c>
      <c r="D51" s="501" t="s">
        <v>134</v>
      </c>
      <c r="E51" s="456" t="s">
        <v>134</v>
      </c>
      <c r="F51" s="502" t="s">
        <v>134</v>
      </c>
      <c r="G51" s="501" t="s">
        <v>134</v>
      </c>
      <c r="H51" s="442" t="s">
        <v>134</v>
      </c>
      <c r="I51" s="501" t="s">
        <v>134</v>
      </c>
      <c r="J51" s="501">
        <f t="shared" si="5"/>
        <v>2660.31</v>
      </c>
      <c r="K51" s="501">
        <v>0</v>
      </c>
      <c r="L51" s="501">
        <v>0</v>
      </c>
      <c r="M51" s="501">
        <v>2660.31</v>
      </c>
    </row>
    <row r="52" spans="1:13" ht="42.75" customHeight="1">
      <c r="A52" s="13">
        <v>5</v>
      </c>
      <c r="B52" s="424" t="s">
        <v>131</v>
      </c>
      <c r="C52" s="442" t="s">
        <v>134</v>
      </c>
      <c r="D52" s="501" t="s">
        <v>134</v>
      </c>
      <c r="E52" s="456" t="s">
        <v>134</v>
      </c>
      <c r="F52" s="502" t="s">
        <v>134</v>
      </c>
      <c r="G52" s="501" t="s">
        <v>134</v>
      </c>
      <c r="H52" s="442" t="s">
        <v>134</v>
      </c>
      <c r="I52" s="501" t="s">
        <v>134</v>
      </c>
      <c r="J52" s="501">
        <f t="shared" si="5"/>
        <v>3295.59</v>
      </c>
      <c r="K52" s="501">
        <v>0</v>
      </c>
      <c r="L52" s="501">
        <v>0</v>
      </c>
      <c r="M52" s="501">
        <v>3295.59</v>
      </c>
    </row>
    <row r="53" spans="1:13" ht="42.75" customHeight="1">
      <c r="A53" s="13">
        <v>6</v>
      </c>
      <c r="B53" s="424" t="s">
        <v>161</v>
      </c>
      <c r="C53" s="481" t="s">
        <v>134</v>
      </c>
      <c r="D53" s="501" t="s">
        <v>134</v>
      </c>
      <c r="E53" s="482" t="s">
        <v>134</v>
      </c>
      <c r="F53" s="502" t="s">
        <v>134</v>
      </c>
      <c r="G53" s="481" t="s">
        <v>134</v>
      </c>
      <c r="H53" s="481" t="s">
        <v>134</v>
      </c>
      <c r="I53" s="501" t="s">
        <v>134</v>
      </c>
      <c r="J53" s="501">
        <f t="shared" si="5"/>
        <v>3300</v>
      </c>
      <c r="K53" s="501">
        <v>0</v>
      </c>
      <c r="L53" s="501">
        <v>0</v>
      </c>
      <c r="M53" s="501">
        <v>3300</v>
      </c>
    </row>
    <row r="54" spans="1:13" ht="42.75" customHeight="1">
      <c r="A54" s="13">
        <v>7</v>
      </c>
      <c r="B54" s="424" t="s">
        <v>162</v>
      </c>
      <c r="C54" s="481" t="s">
        <v>134</v>
      </c>
      <c r="D54" s="501" t="s">
        <v>134</v>
      </c>
      <c r="E54" s="482" t="s">
        <v>134</v>
      </c>
      <c r="F54" s="502" t="s">
        <v>134</v>
      </c>
      <c r="G54" s="481" t="s">
        <v>134</v>
      </c>
      <c r="H54" s="481" t="s">
        <v>134</v>
      </c>
      <c r="I54" s="501" t="s">
        <v>134</v>
      </c>
      <c r="J54" s="501">
        <f t="shared" si="5"/>
        <v>3800</v>
      </c>
      <c r="K54" s="501">
        <v>0</v>
      </c>
      <c r="L54" s="501">
        <v>0</v>
      </c>
      <c r="M54" s="501">
        <v>3800</v>
      </c>
    </row>
    <row r="55" spans="1:13" ht="42.75" customHeight="1">
      <c r="A55" s="13">
        <v>8</v>
      </c>
      <c r="B55" s="424" t="s">
        <v>133</v>
      </c>
      <c r="C55" s="481" t="s">
        <v>134</v>
      </c>
      <c r="D55" s="501" t="s">
        <v>134</v>
      </c>
      <c r="E55" s="482" t="s">
        <v>134</v>
      </c>
      <c r="F55" s="502" t="s">
        <v>134</v>
      </c>
      <c r="G55" s="481" t="s">
        <v>134</v>
      </c>
      <c r="H55" s="481" t="s">
        <v>134</v>
      </c>
      <c r="I55" s="501" t="s">
        <v>134</v>
      </c>
      <c r="J55" s="501">
        <f t="shared" si="5"/>
        <v>1000</v>
      </c>
      <c r="K55" s="501">
        <v>0</v>
      </c>
      <c r="L55" s="501">
        <v>0</v>
      </c>
      <c r="M55" s="501">
        <v>1000</v>
      </c>
    </row>
    <row r="56" spans="1:13" ht="41.25" customHeight="1">
      <c r="A56" s="459">
        <v>9</v>
      </c>
      <c r="B56" s="424" t="s">
        <v>165</v>
      </c>
      <c r="C56" s="488" t="s">
        <v>134</v>
      </c>
      <c r="D56" s="501" t="s">
        <v>134</v>
      </c>
      <c r="E56" s="489" t="s">
        <v>134</v>
      </c>
      <c r="F56" s="502" t="s">
        <v>134</v>
      </c>
      <c r="G56" s="487" t="s">
        <v>134</v>
      </c>
      <c r="H56" s="485" t="s">
        <v>134</v>
      </c>
      <c r="I56" s="501" t="s">
        <v>134</v>
      </c>
      <c r="J56" s="501">
        <f t="shared" si="5"/>
        <v>1787</v>
      </c>
      <c r="K56" s="501">
        <v>0</v>
      </c>
      <c r="L56" s="501">
        <v>0</v>
      </c>
      <c r="M56" s="494">
        <v>1787</v>
      </c>
    </row>
    <row r="57" spans="1:13" ht="41.25" customHeight="1">
      <c r="A57" s="459">
        <v>10</v>
      </c>
      <c r="B57" s="424" t="s">
        <v>166</v>
      </c>
      <c r="C57" s="488" t="s">
        <v>134</v>
      </c>
      <c r="D57" s="501" t="s">
        <v>134</v>
      </c>
      <c r="E57" s="489" t="s">
        <v>134</v>
      </c>
      <c r="F57" s="502" t="s">
        <v>134</v>
      </c>
      <c r="G57" s="487" t="s">
        <v>134</v>
      </c>
      <c r="H57" s="485" t="s">
        <v>134</v>
      </c>
      <c r="I57" s="501" t="s">
        <v>134</v>
      </c>
      <c r="J57" s="501">
        <f t="shared" si="5"/>
        <v>4287.07</v>
      </c>
      <c r="K57" s="501">
        <v>0</v>
      </c>
      <c r="L57" s="501">
        <v>0</v>
      </c>
      <c r="M57" s="494">
        <v>4287.07</v>
      </c>
    </row>
    <row r="58" spans="1:13" ht="32.25" customHeight="1">
      <c r="A58" s="585" t="s">
        <v>150</v>
      </c>
      <c r="B58" s="585"/>
      <c r="C58" s="18" t="s">
        <v>134</v>
      </c>
      <c r="D58" s="452" t="s">
        <v>134</v>
      </c>
      <c r="E58" s="452" t="s">
        <v>134</v>
      </c>
      <c r="F58" s="492" t="s">
        <v>134</v>
      </c>
      <c r="G58" s="452" t="s">
        <v>134</v>
      </c>
      <c r="H58" s="454" t="s">
        <v>134</v>
      </c>
      <c r="I58" s="453" t="s">
        <v>134</v>
      </c>
      <c r="J58" s="497">
        <f>SUM(J48:J57)</f>
        <v>30087.089999999997</v>
      </c>
      <c r="K58" s="509">
        <f aca="true" t="shared" si="6" ref="K58:M58">SUM(K48:K57)</f>
        <v>0</v>
      </c>
      <c r="L58" s="509">
        <f t="shared" si="6"/>
        <v>4242.78</v>
      </c>
      <c r="M58" s="509">
        <f t="shared" si="6"/>
        <v>25844.309999999998</v>
      </c>
    </row>
    <row r="59" spans="1:13" s="477" customFormat="1" ht="26.25" customHeight="1">
      <c r="A59" s="585" t="s">
        <v>138</v>
      </c>
      <c r="B59" s="585"/>
      <c r="C59" s="454" t="s">
        <v>134</v>
      </c>
      <c r="D59" s="454" t="s">
        <v>134</v>
      </c>
      <c r="E59" s="475" t="s">
        <v>134</v>
      </c>
      <c r="F59" s="492" t="s">
        <v>134</v>
      </c>
      <c r="G59" s="454" t="s">
        <v>134</v>
      </c>
      <c r="H59" s="454" t="s">
        <v>134</v>
      </c>
      <c r="I59" s="454" t="s">
        <v>134</v>
      </c>
      <c r="J59" s="476">
        <f>SUM(K59:M59)</f>
        <v>944753</v>
      </c>
      <c r="K59" s="476">
        <f>K22+K25+K32+K46+K58</f>
        <v>0</v>
      </c>
      <c r="L59" s="476">
        <f>L22+L25+L32+L46+L58</f>
        <v>283313</v>
      </c>
      <c r="M59" s="476">
        <f aca="true" t="shared" si="7" ref="M59">M22+M25+M32+M46+M58</f>
        <v>661440</v>
      </c>
    </row>
    <row r="60" spans="1:13" s="428" customFormat="1" ht="26.25" customHeight="1">
      <c r="A60" s="586" t="s">
        <v>135</v>
      </c>
      <c r="B60" s="586"/>
      <c r="C60" s="425" t="s">
        <v>134</v>
      </c>
      <c r="D60" s="425" t="s">
        <v>134</v>
      </c>
      <c r="E60" s="432" t="s">
        <v>134</v>
      </c>
      <c r="F60" s="494" t="s">
        <v>134</v>
      </c>
      <c r="G60" s="431" t="s">
        <v>134</v>
      </c>
      <c r="H60" s="448" t="s">
        <v>134</v>
      </c>
      <c r="I60" s="448" t="s">
        <v>134</v>
      </c>
      <c r="J60" s="457">
        <f aca="true" t="shared" si="8" ref="J60:J63">SUM(K60:M60)</f>
        <v>283313</v>
      </c>
      <c r="K60" s="457">
        <v>0</v>
      </c>
      <c r="L60" s="457">
        <f>L59</f>
        <v>283313</v>
      </c>
      <c r="M60" s="458">
        <v>0</v>
      </c>
    </row>
    <row r="61" spans="1:14" s="428" customFormat="1" ht="54.75" customHeight="1">
      <c r="A61" s="586" t="s">
        <v>136</v>
      </c>
      <c r="B61" s="586"/>
      <c r="C61" s="425" t="s">
        <v>134</v>
      </c>
      <c r="D61" s="425" t="s">
        <v>134</v>
      </c>
      <c r="E61" s="432" t="s">
        <v>134</v>
      </c>
      <c r="F61" s="494" t="s">
        <v>134</v>
      </c>
      <c r="G61" s="431" t="s">
        <v>134</v>
      </c>
      <c r="H61" s="448" t="s">
        <v>134</v>
      </c>
      <c r="I61" s="448" t="s">
        <v>134</v>
      </c>
      <c r="J61" s="457">
        <f>SUM(K61:M61)</f>
        <v>661440</v>
      </c>
      <c r="K61" s="457">
        <v>0</v>
      </c>
      <c r="L61" s="457">
        <v>0</v>
      </c>
      <c r="M61" s="457">
        <f>M59</f>
        <v>661440</v>
      </c>
      <c r="N61" s="443"/>
    </row>
    <row r="62" spans="1:14" s="428" customFormat="1" ht="42" customHeight="1">
      <c r="A62" s="583" t="s">
        <v>151</v>
      </c>
      <c r="B62" s="583"/>
      <c r="C62" s="425" t="s">
        <v>134</v>
      </c>
      <c r="D62" s="425" t="s">
        <v>134</v>
      </c>
      <c r="E62" s="432" t="s">
        <v>134</v>
      </c>
      <c r="F62" s="494" t="s">
        <v>134</v>
      </c>
      <c r="G62" s="431" t="s">
        <v>134</v>
      </c>
      <c r="H62" s="448" t="s">
        <v>134</v>
      </c>
      <c r="I62" s="448" t="s">
        <v>134</v>
      </c>
      <c r="J62" s="457">
        <f t="shared" si="8"/>
        <v>542167.21</v>
      </c>
      <c r="K62" s="457">
        <v>0</v>
      </c>
      <c r="L62" s="457">
        <v>0</v>
      </c>
      <c r="M62" s="457">
        <f>M61-M63</f>
        <v>542167.21</v>
      </c>
      <c r="N62" s="443"/>
    </row>
    <row r="63" spans="1:13" ht="38.25" customHeight="1">
      <c r="A63" s="587" t="s">
        <v>152</v>
      </c>
      <c r="B63" s="587"/>
      <c r="C63" s="425" t="s">
        <v>134</v>
      </c>
      <c r="D63" s="425" t="s">
        <v>134</v>
      </c>
      <c r="E63" s="432" t="s">
        <v>134</v>
      </c>
      <c r="F63" s="494" t="s">
        <v>134</v>
      </c>
      <c r="G63" s="431" t="s">
        <v>134</v>
      </c>
      <c r="H63" s="448" t="s">
        <v>134</v>
      </c>
      <c r="I63" s="448" t="s">
        <v>134</v>
      </c>
      <c r="J63" s="457">
        <f t="shared" si="8"/>
        <v>119272.79</v>
      </c>
      <c r="K63" s="457">
        <v>0</v>
      </c>
      <c r="L63" s="457">
        <v>0</v>
      </c>
      <c r="M63" s="494">
        <v>119272.79</v>
      </c>
    </row>
    <row r="64" spans="1:45" s="441" customFormat="1" ht="23.25">
      <c r="A64" s="435" t="s">
        <v>137</v>
      </c>
      <c r="B64" s="435"/>
      <c r="C64" s="436"/>
      <c r="D64" s="436"/>
      <c r="E64" s="437"/>
      <c r="F64" s="436"/>
      <c r="G64" s="436"/>
      <c r="H64" s="438"/>
      <c r="I64" s="439"/>
      <c r="J64" s="439"/>
      <c r="K64" s="439"/>
      <c r="L64" s="440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39"/>
      <c r="AA64" s="439"/>
      <c r="AB64" s="439"/>
      <c r="AC64" s="439"/>
      <c r="AD64" s="439"/>
      <c r="AE64" s="439"/>
      <c r="AF64" s="439"/>
      <c r="AG64" s="439"/>
      <c r="AH64" s="439"/>
      <c r="AI64" s="439"/>
      <c r="AJ64" s="439"/>
      <c r="AK64" s="439"/>
      <c r="AL64" s="439"/>
      <c r="AM64" s="439"/>
      <c r="AN64" s="439"/>
      <c r="AO64" s="439"/>
      <c r="AP64" s="439"/>
      <c r="AQ64" s="439"/>
      <c r="AR64" s="439"/>
      <c r="AS64" s="439"/>
    </row>
    <row r="65" spans="1:256" s="15" customFormat="1" ht="22.5" customHeight="1">
      <c r="A65" s="349"/>
      <c r="B65" s="10"/>
      <c r="C65" s="10"/>
      <c r="D65" s="10"/>
      <c r="E65" s="10"/>
      <c r="F65" s="349"/>
      <c r="G65" s="10"/>
      <c r="H65" s="10"/>
      <c r="I65" s="10"/>
      <c r="J65" s="10"/>
      <c r="K65" s="10"/>
      <c r="L65" s="10"/>
      <c r="M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14" s="428" customFormat="1" ht="42" customHeight="1">
      <c r="A66" s="511"/>
      <c r="B66" s="537" t="s">
        <v>199</v>
      </c>
      <c r="C66" s="538"/>
      <c r="D66" s="538"/>
      <c r="E66" s="538"/>
      <c r="F66" s="538"/>
      <c r="G66" s="538"/>
      <c r="H66" s="538"/>
      <c r="I66" s="538"/>
      <c r="J66" s="538" t="s">
        <v>208</v>
      </c>
      <c r="K66" s="471"/>
      <c r="L66" s="471"/>
      <c r="M66" s="539"/>
      <c r="N66" s="474"/>
    </row>
    <row r="67" spans="2:13" ht="18.75">
      <c r="B67" s="1"/>
      <c r="C67" s="1"/>
      <c r="D67" s="1"/>
      <c r="E67" s="1"/>
      <c r="F67" s="515"/>
      <c r="G67" s="1"/>
      <c r="H67" s="1"/>
      <c r="I67" s="600"/>
      <c r="J67" s="600"/>
      <c r="M67" s="444"/>
    </row>
    <row r="68" spans="1:54" s="473" customFormat="1" ht="30.75" customHeight="1">
      <c r="A68" s="471"/>
      <c r="B68" s="472"/>
      <c r="C68" s="472"/>
      <c r="D68" s="472"/>
      <c r="F68" s="516"/>
      <c r="G68" s="472"/>
      <c r="N68" s="474"/>
      <c r="O68" s="474"/>
      <c r="P68" s="474"/>
      <c r="Q68" s="474"/>
      <c r="R68" s="474"/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  <c r="AD68" s="474"/>
      <c r="AE68" s="474"/>
      <c r="AF68" s="474"/>
      <c r="AG68" s="474"/>
      <c r="AH68" s="474"/>
      <c r="AI68" s="474"/>
      <c r="AJ68" s="474"/>
      <c r="AK68" s="474"/>
      <c r="AL68" s="474"/>
      <c r="AM68" s="474"/>
      <c r="AN68" s="474"/>
      <c r="AO68" s="474"/>
      <c r="AP68" s="474"/>
      <c r="AQ68" s="474"/>
      <c r="AR68" s="474"/>
      <c r="AS68" s="474"/>
      <c r="AT68" s="474"/>
      <c r="AU68" s="474"/>
      <c r="AV68" s="474"/>
      <c r="AW68" s="474"/>
      <c r="AX68" s="474"/>
      <c r="AY68" s="474"/>
      <c r="AZ68" s="474"/>
      <c r="BA68" s="474"/>
      <c r="BB68" s="474"/>
    </row>
    <row r="69" spans="2:5" ht="18.75">
      <c r="B69" s="1"/>
      <c r="C69" s="1"/>
      <c r="D69" s="1"/>
      <c r="E69" s="1"/>
    </row>
    <row r="74" spans="1:256" s="15" customFormat="1" ht="18.75">
      <c r="A74" s="460"/>
      <c r="B74" s="409"/>
      <c r="C74" s="409"/>
      <c r="D74" s="409"/>
      <c r="E74" s="409"/>
      <c r="F74" s="517"/>
      <c r="G74" s="409"/>
      <c r="H74" s="409"/>
      <c r="I74" s="410"/>
      <c r="J74" s="411"/>
      <c r="K74" s="410"/>
      <c r="L74" s="410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50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50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50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50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50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50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50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50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50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50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50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50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  <c r="HE74" s="149"/>
      <c r="HF74" s="149"/>
      <c r="HG74" s="149"/>
      <c r="HH74" s="150"/>
      <c r="HI74" s="149"/>
      <c r="HJ74" s="149"/>
      <c r="HK74" s="149"/>
      <c r="HL74" s="149"/>
      <c r="HM74" s="149"/>
      <c r="HN74" s="149"/>
      <c r="HO74" s="149"/>
      <c r="HP74" s="149"/>
      <c r="HQ74" s="149"/>
      <c r="HR74" s="149"/>
      <c r="HS74" s="149"/>
      <c r="HT74" s="149"/>
      <c r="HU74" s="149"/>
      <c r="HV74" s="149"/>
      <c r="HW74" s="149"/>
      <c r="HX74" s="150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  <c r="II74" s="149"/>
      <c r="IJ74" s="149"/>
      <c r="IK74" s="149"/>
      <c r="IL74" s="149"/>
      <c r="IM74" s="149"/>
      <c r="IN74" s="150"/>
      <c r="IO74" s="149"/>
      <c r="IP74" s="149"/>
      <c r="IQ74" s="149"/>
      <c r="IR74" s="149"/>
      <c r="IS74" s="149"/>
      <c r="IT74" s="149"/>
      <c r="IU74" s="149"/>
      <c r="IV74" s="149"/>
    </row>
    <row r="75" spans="1:256" s="15" customFormat="1" ht="18.75">
      <c r="A75" s="460"/>
      <c r="B75" s="409"/>
      <c r="C75" s="409"/>
      <c r="D75" s="409"/>
      <c r="E75" s="409"/>
      <c r="F75" s="517"/>
      <c r="G75" s="409"/>
      <c r="H75" s="409"/>
      <c r="I75" s="409"/>
      <c r="J75" s="410"/>
      <c r="K75" s="410"/>
      <c r="L75" s="40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50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50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50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50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50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50"/>
      <c r="DB75" s="149"/>
      <c r="DC75" s="149"/>
      <c r="DD75" s="149"/>
      <c r="DE75" s="149"/>
      <c r="DF75" s="149"/>
      <c r="DG75" s="149"/>
      <c r="DH75" s="149"/>
      <c r="DI75" s="149"/>
      <c r="DJ75" s="149"/>
      <c r="DK75" s="149"/>
      <c r="DL75" s="149"/>
      <c r="DM75" s="149"/>
      <c r="DN75" s="149"/>
      <c r="DO75" s="149"/>
      <c r="DP75" s="149"/>
      <c r="DQ75" s="150"/>
      <c r="DR75" s="149"/>
      <c r="DS75" s="149"/>
      <c r="DT75" s="149"/>
      <c r="DU75" s="149"/>
      <c r="DV75" s="149"/>
      <c r="DW75" s="149"/>
      <c r="DX75" s="149"/>
      <c r="DY75" s="149"/>
      <c r="DZ75" s="149"/>
      <c r="EA75" s="149"/>
      <c r="EB75" s="149"/>
      <c r="EC75" s="149"/>
      <c r="ED75" s="149"/>
      <c r="EE75" s="149"/>
      <c r="EF75" s="149"/>
      <c r="EG75" s="150"/>
      <c r="EH75" s="149"/>
      <c r="EI75" s="149"/>
      <c r="EJ75" s="149"/>
      <c r="EK75" s="149"/>
      <c r="EL75" s="149"/>
      <c r="EM75" s="149"/>
      <c r="EN75" s="149"/>
      <c r="EO75" s="149"/>
      <c r="EP75" s="149"/>
      <c r="EQ75" s="149"/>
      <c r="ER75" s="149"/>
      <c r="ES75" s="149"/>
      <c r="ET75" s="149"/>
      <c r="EU75" s="149"/>
      <c r="EV75" s="149"/>
      <c r="EW75" s="150"/>
      <c r="EX75" s="149"/>
      <c r="EY75" s="149"/>
      <c r="EZ75" s="149"/>
      <c r="FA75" s="149"/>
      <c r="FB75" s="149"/>
      <c r="FC75" s="149"/>
      <c r="FD75" s="149"/>
      <c r="FE75" s="149"/>
      <c r="FF75" s="149"/>
      <c r="FG75" s="149"/>
      <c r="FH75" s="149"/>
      <c r="FI75" s="149"/>
      <c r="FJ75" s="149"/>
      <c r="FK75" s="149"/>
      <c r="FL75" s="149"/>
      <c r="FM75" s="150"/>
      <c r="FN75" s="149"/>
      <c r="FO75" s="149"/>
      <c r="FP75" s="149"/>
      <c r="FQ75" s="149"/>
      <c r="FR75" s="149"/>
      <c r="FS75" s="149"/>
      <c r="FT75" s="149"/>
      <c r="FU75" s="149"/>
      <c r="FV75" s="149"/>
      <c r="FW75" s="149"/>
      <c r="FX75" s="149"/>
      <c r="FY75" s="149"/>
      <c r="FZ75" s="149"/>
      <c r="GA75" s="149"/>
      <c r="GB75" s="149"/>
      <c r="GC75" s="150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50"/>
      <c r="GT75" s="149"/>
      <c r="GU75" s="149"/>
      <c r="GV75" s="149"/>
      <c r="GW75" s="149"/>
      <c r="GX75" s="149"/>
      <c r="GY75" s="149"/>
      <c r="GZ75" s="149"/>
      <c r="HA75" s="149"/>
      <c r="HB75" s="149"/>
      <c r="HC75" s="149"/>
      <c r="HD75" s="149"/>
      <c r="HE75" s="149"/>
      <c r="HF75" s="149"/>
      <c r="HG75" s="149"/>
      <c r="HH75" s="149"/>
      <c r="HI75" s="150"/>
      <c r="HJ75" s="149"/>
      <c r="HK75" s="149"/>
      <c r="HL75" s="149"/>
      <c r="HM75" s="149"/>
      <c r="HN75" s="149"/>
      <c r="HO75" s="149"/>
      <c r="HP75" s="149"/>
      <c r="HQ75" s="149"/>
      <c r="HR75" s="149"/>
      <c r="HS75" s="149"/>
      <c r="HT75" s="149"/>
      <c r="HU75" s="149"/>
      <c r="HV75" s="149"/>
      <c r="HW75" s="149"/>
      <c r="HX75" s="149"/>
      <c r="HY75" s="150"/>
      <c r="HZ75" s="149"/>
      <c r="IA75" s="149"/>
      <c r="IB75" s="149"/>
      <c r="IC75" s="149"/>
      <c r="ID75" s="149"/>
      <c r="IE75" s="149"/>
      <c r="IF75" s="149"/>
      <c r="IG75" s="149"/>
      <c r="IH75" s="149"/>
      <c r="II75" s="149"/>
      <c r="IJ75" s="149"/>
      <c r="IK75" s="149"/>
      <c r="IL75" s="149"/>
      <c r="IM75" s="149"/>
      <c r="IN75" s="149"/>
      <c r="IO75" s="150"/>
      <c r="IP75" s="149"/>
      <c r="IQ75" s="149"/>
      <c r="IR75" s="149"/>
      <c r="IS75" s="149"/>
      <c r="IT75" s="149"/>
      <c r="IU75" s="149"/>
      <c r="IV75" s="149"/>
    </row>
    <row r="76" spans="1:256" s="15" customFormat="1" ht="18.75">
      <c r="A76" s="460"/>
      <c r="B76" s="409"/>
      <c r="C76" s="409"/>
      <c r="D76" s="409"/>
      <c r="E76" s="409"/>
      <c r="F76" s="517"/>
      <c r="G76" s="409"/>
      <c r="H76" s="409"/>
      <c r="I76" s="409"/>
      <c r="J76" s="410"/>
      <c r="K76" s="410"/>
      <c r="L76" s="40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50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50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50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50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50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50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50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50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50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50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50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50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50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50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  <c r="IO76" s="150"/>
      <c r="IP76" s="149"/>
      <c r="IQ76" s="149"/>
      <c r="IR76" s="149"/>
      <c r="IS76" s="149"/>
      <c r="IT76" s="149"/>
      <c r="IU76" s="149"/>
      <c r="IV76" s="149"/>
    </row>
    <row r="77" spans="1:13" s="15" customFormat="1" ht="60.75" customHeight="1">
      <c r="A77" s="461"/>
      <c r="B77" s="449"/>
      <c r="C77" s="466"/>
      <c r="D77" s="504"/>
      <c r="E77" s="584"/>
      <c r="F77" s="584"/>
      <c r="G77" s="451"/>
      <c r="H77" s="446"/>
      <c r="I77" s="446"/>
      <c r="J77" s="446"/>
      <c r="K77" s="446"/>
      <c r="L77" s="446"/>
      <c r="M77" s="446"/>
    </row>
    <row r="78" spans="1:13" s="15" customFormat="1" ht="60.75" customHeight="1">
      <c r="A78" s="461"/>
      <c r="B78" s="449"/>
      <c r="C78" s="466"/>
      <c r="D78" s="504"/>
      <c r="E78" s="584"/>
      <c r="F78" s="584"/>
      <c r="G78" s="451"/>
      <c r="H78" s="446"/>
      <c r="I78" s="446"/>
      <c r="J78" s="446"/>
      <c r="K78" s="446"/>
      <c r="L78" s="446"/>
      <c r="M78" s="446"/>
    </row>
    <row r="79" spans="1:13" s="15" customFormat="1" ht="60.75" customHeight="1">
      <c r="A79" s="461"/>
      <c r="B79" s="449"/>
      <c r="C79" s="414"/>
      <c r="D79" s="504"/>
      <c r="E79" s="412"/>
      <c r="F79" s="412"/>
      <c r="G79" s="446"/>
      <c r="H79" s="446"/>
      <c r="I79" s="446"/>
      <c r="J79" s="446"/>
      <c r="K79" s="446"/>
      <c r="L79" s="446"/>
      <c r="M79" s="446"/>
    </row>
    <row r="80" spans="1:13" s="15" customFormat="1" ht="60.75" customHeight="1">
      <c r="A80" s="461"/>
      <c r="B80" s="449"/>
      <c r="C80" s="466"/>
      <c r="D80" s="504"/>
      <c r="E80" s="584"/>
      <c r="F80" s="584"/>
      <c r="G80" s="451"/>
      <c r="H80" s="446"/>
      <c r="I80" s="446"/>
      <c r="J80" s="446"/>
      <c r="K80" s="446"/>
      <c r="L80" s="446"/>
      <c r="M80" s="446"/>
    </row>
    <row r="81" spans="1:13" s="15" customFormat="1" ht="60.75" customHeight="1">
      <c r="A81" s="461"/>
      <c r="B81" s="449"/>
      <c r="C81" s="466"/>
      <c r="D81" s="504"/>
      <c r="E81" s="467"/>
      <c r="F81" s="505"/>
      <c r="G81" s="451"/>
      <c r="H81" s="451"/>
      <c r="I81" s="445"/>
      <c r="J81" s="445"/>
      <c r="K81" s="445"/>
      <c r="L81" s="445"/>
      <c r="M81" s="445"/>
    </row>
    <row r="82" spans="1:13" s="15" customFormat="1" ht="60.75" customHeight="1">
      <c r="A82" s="461"/>
      <c r="B82" s="449"/>
      <c r="C82" s="466"/>
      <c r="D82" s="504"/>
      <c r="E82" s="467"/>
      <c r="F82" s="505"/>
      <c r="G82" s="451"/>
      <c r="H82" s="451"/>
      <c r="I82" s="445"/>
      <c r="J82" s="445"/>
      <c r="K82" s="445"/>
      <c r="L82" s="445"/>
      <c r="M82" s="445"/>
    </row>
    <row r="83" spans="1:13" s="15" customFormat="1" ht="60.75" customHeight="1">
      <c r="A83" s="461"/>
      <c r="B83" s="449"/>
      <c r="C83" s="466"/>
      <c r="D83" s="504"/>
      <c r="E83" s="584"/>
      <c r="F83" s="584"/>
      <c r="G83" s="451"/>
      <c r="H83" s="451"/>
      <c r="I83" s="445"/>
      <c r="J83" s="445"/>
      <c r="K83" s="445"/>
      <c r="L83" s="445"/>
      <c r="M83" s="445"/>
    </row>
    <row r="84" spans="1:13" s="15" customFormat="1" ht="34.5" customHeight="1">
      <c r="A84" s="461"/>
      <c r="B84" s="451"/>
      <c r="C84" s="450"/>
      <c r="D84" s="451"/>
      <c r="E84" s="451"/>
      <c r="F84" s="507"/>
      <c r="G84" s="451"/>
      <c r="H84" s="451"/>
      <c r="I84" s="445"/>
      <c r="J84" s="445"/>
      <c r="K84" s="445"/>
      <c r="L84" s="445"/>
      <c r="M84" s="445"/>
    </row>
    <row r="85" spans="1:13" s="15" customFormat="1" ht="32.25" customHeight="1">
      <c r="A85" s="588"/>
      <c r="B85" s="588"/>
      <c r="C85" s="588"/>
      <c r="D85" s="588"/>
      <c r="E85" s="588"/>
      <c r="F85" s="588"/>
      <c r="G85" s="588"/>
      <c r="H85" s="588"/>
      <c r="I85" s="588"/>
      <c r="J85" s="588"/>
      <c r="K85" s="588"/>
      <c r="L85" s="588"/>
      <c r="M85" s="588"/>
    </row>
    <row r="86" spans="1:15" s="15" customFormat="1" ht="45" customHeight="1">
      <c r="A86" s="461"/>
      <c r="B86" s="468"/>
      <c r="C86" s="589"/>
      <c r="D86" s="589"/>
      <c r="E86" s="589"/>
      <c r="F86" s="589"/>
      <c r="G86" s="503"/>
      <c r="H86" s="503"/>
      <c r="I86" s="446"/>
      <c r="J86" s="446"/>
      <c r="K86" s="446"/>
      <c r="L86" s="446"/>
      <c r="M86" s="446"/>
      <c r="O86" s="238"/>
    </row>
    <row r="87" spans="1:13" s="15" customFormat="1" ht="38.25" customHeight="1">
      <c r="A87" s="461"/>
      <c r="B87" s="413"/>
      <c r="C87" s="449"/>
      <c r="D87" s="449"/>
      <c r="E87" s="449"/>
      <c r="F87" s="461"/>
      <c r="G87" s="415"/>
      <c r="H87" s="416"/>
      <c r="I87" s="416"/>
      <c r="J87" s="469"/>
      <c r="K87" s="470"/>
      <c r="L87" s="445"/>
      <c r="M87" s="446"/>
    </row>
    <row r="88" spans="1:6" s="15" customFormat="1" ht="12.75">
      <c r="A88" s="462"/>
      <c r="F88" s="462"/>
    </row>
    <row r="89" spans="1:13" s="15" customFormat="1" ht="25.5">
      <c r="A89" s="462"/>
      <c r="B89" s="417"/>
      <c r="C89" s="417"/>
      <c r="D89" s="417"/>
      <c r="E89" s="417"/>
      <c r="F89" s="518"/>
      <c r="G89" s="417"/>
      <c r="H89" s="418"/>
      <c r="I89" s="419"/>
      <c r="K89" s="420"/>
      <c r="L89" s="420"/>
      <c r="M89" s="421"/>
    </row>
    <row r="90" spans="1:9" s="15" customFormat="1" ht="12.75">
      <c r="A90" s="462"/>
      <c r="B90" s="422"/>
      <c r="C90" s="422"/>
      <c r="D90" s="422"/>
      <c r="E90" s="422"/>
      <c r="F90" s="519"/>
      <c r="G90" s="422"/>
      <c r="H90" s="419"/>
      <c r="I90" s="419"/>
    </row>
    <row r="91" spans="1:14" s="15" customFormat="1" ht="20.25">
      <c r="A91" s="462"/>
      <c r="B91" s="422"/>
      <c r="C91" s="422"/>
      <c r="D91" s="422"/>
      <c r="E91" s="422"/>
      <c r="F91" s="519"/>
      <c r="G91" s="422"/>
      <c r="H91" s="419"/>
      <c r="I91" s="419"/>
      <c r="M91" s="423"/>
      <c r="N91" s="153"/>
    </row>
    <row r="92" spans="1:14" s="15" customFormat="1" ht="20.25">
      <c r="A92" s="462"/>
      <c r="B92" s="417"/>
      <c r="C92" s="417"/>
      <c r="D92" s="417"/>
      <c r="E92" s="417"/>
      <c r="F92" s="518"/>
      <c r="G92" s="417"/>
      <c r="H92" s="418"/>
      <c r="I92" s="418"/>
      <c r="M92" s="420"/>
      <c r="N92" s="153"/>
    </row>
    <row r="93" spans="1:14" s="15" customFormat="1" ht="20.25">
      <c r="A93" s="462"/>
      <c r="B93" s="422"/>
      <c r="C93" s="422"/>
      <c r="D93" s="422"/>
      <c r="E93" s="422"/>
      <c r="F93" s="519"/>
      <c r="G93" s="422"/>
      <c r="H93" s="419"/>
      <c r="I93" s="419"/>
      <c r="N93" s="153"/>
    </row>
    <row r="94" spans="1:9" s="15" customFormat="1" ht="12.75">
      <c r="A94" s="462"/>
      <c r="B94" s="419"/>
      <c r="C94" s="419"/>
      <c r="D94" s="419"/>
      <c r="E94" s="419"/>
      <c r="F94" s="520"/>
      <c r="G94" s="419"/>
      <c r="H94" s="419"/>
      <c r="I94" s="419"/>
    </row>
    <row r="95" spans="1:6" s="15" customFormat="1" ht="12.75">
      <c r="A95" s="462"/>
      <c r="F95" s="462"/>
    </row>
    <row r="96" spans="1:6" s="15" customFormat="1" ht="12.75">
      <c r="A96" s="462"/>
      <c r="F96" s="462"/>
    </row>
    <row r="97" spans="1:6" s="15" customFormat="1" ht="12.75">
      <c r="A97" s="462"/>
      <c r="F97" s="462"/>
    </row>
    <row r="98" spans="1:6" s="15" customFormat="1" ht="12.75">
      <c r="A98" s="462"/>
      <c r="F98" s="462"/>
    </row>
    <row r="99" spans="1:6" s="15" customFormat="1" ht="12.75">
      <c r="A99" s="462"/>
      <c r="F99" s="462"/>
    </row>
    <row r="100" spans="1:6" s="15" customFormat="1" ht="12.75">
      <c r="A100" s="462"/>
      <c r="B100" s="242"/>
      <c r="F100" s="462"/>
    </row>
    <row r="101" spans="1:6" s="15" customFormat="1" ht="12.75">
      <c r="A101" s="462"/>
      <c r="F101" s="462"/>
    </row>
    <row r="102" spans="1:6" s="15" customFormat="1" ht="12.75">
      <c r="A102" s="462"/>
      <c r="F102" s="462"/>
    </row>
    <row r="103" spans="1:6" s="15" customFormat="1" ht="12.75">
      <c r="A103" s="462"/>
      <c r="F103" s="462"/>
    </row>
    <row r="104" spans="1:6" s="15" customFormat="1" ht="12.75">
      <c r="A104" s="462"/>
      <c r="F104" s="462"/>
    </row>
    <row r="105" spans="1:6" s="15" customFormat="1" ht="12.75">
      <c r="A105" s="462"/>
      <c r="F105" s="462"/>
    </row>
    <row r="106" spans="1:6" s="15" customFormat="1" ht="12.75">
      <c r="A106" s="462"/>
      <c r="F106" s="462"/>
    </row>
    <row r="107" spans="1:6" s="15" customFormat="1" ht="12.75">
      <c r="A107" s="462"/>
      <c r="F107" s="462"/>
    </row>
    <row r="108" spans="1:6" s="15" customFormat="1" ht="12.75">
      <c r="A108" s="462"/>
      <c r="F108" s="462"/>
    </row>
    <row r="109" spans="1:6" s="15" customFormat="1" ht="12.75">
      <c r="A109" s="462"/>
      <c r="F109" s="462"/>
    </row>
    <row r="110" spans="1:6" s="15" customFormat="1" ht="12.75">
      <c r="A110" s="462"/>
      <c r="F110" s="462"/>
    </row>
    <row r="111" spans="1:6" s="15" customFormat="1" ht="12.75">
      <c r="A111" s="462"/>
      <c r="F111" s="462"/>
    </row>
    <row r="112" spans="1:6" s="15" customFormat="1" ht="12.75">
      <c r="A112" s="462"/>
      <c r="F112" s="462"/>
    </row>
    <row r="113" spans="1:6" s="15" customFormat="1" ht="12.75">
      <c r="A113" s="462"/>
      <c r="F113" s="462"/>
    </row>
    <row r="114" spans="1:6" s="15" customFormat="1" ht="12.75">
      <c r="A114" s="462"/>
      <c r="F114" s="462"/>
    </row>
    <row r="115" spans="1:6" s="15" customFormat="1" ht="12.75">
      <c r="A115" s="462"/>
      <c r="F115" s="462"/>
    </row>
    <row r="116" spans="1:6" s="15" customFormat="1" ht="12.75">
      <c r="A116" s="462"/>
      <c r="F116" s="462"/>
    </row>
    <row r="117" spans="1:6" s="15" customFormat="1" ht="12.75">
      <c r="A117" s="462"/>
      <c r="F117" s="462"/>
    </row>
    <row r="118" spans="1:6" s="15" customFormat="1" ht="12.75">
      <c r="A118" s="462"/>
      <c r="F118" s="462"/>
    </row>
    <row r="119" spans="1:6" s="15" customFormat="1" ht="12.75">
      <c r="A119" s="462"/>
      <c r="F119" s="462"/>
    </row>
    <row r="120" spans="1:6" s="15" customFormat="1" ht="12.75">
      <c r="A120" s="462"/>
      <c r="F120" s="462"/>
    </row>
    <row r="121" spans="1:6" s="15" customFormat="1" ht="12.75">
      <c r="A121" s="462"/>
      <c r="F121" s="462"/>
    </row>
    <row r="122" spans="1:6" s="15" customFormat="1" ht="12.75">
      <c r="A122" s="462"/>
      <c r="F122" s="462"/>
    </row>
    <row r="123" spans="1:6" s="15" customFormat="1" ht="12.75">
      <c r="A123" s="462"/>
      <c r="F123" s="462"/>
    </row>
    <row r="124" spans="1:6" s="15" customFormat="1" ht="12.75">
      <c r="A124" s="462"/>
      <c r="F124" s="462"/>
    </row>
    <row r="125" spans="1:6" s="15" customFormat="1" ht="12.75">
      <c r="A125" s="462"/>
      <c r="F125" s="462"/>
    </row>
    <row r="126" spans="1:6" s="15" customFormat="1" ht="12.75">
      <c r="A126" s="462"/>
      <c r="F126" s="462"/>
    </row>
    <row r="127" spans="1:6" s="15" customFormat="1" ht="12.75">
      <c r="A127" s="462"/>
      <c r="F127" s="462"/>
    </row>
    <row r="128" spans="1:6" s="15" customFormat="1" ht="12.75">
      <c r="A128" s="462"/>
      <c r="F128" s="462"/>
    </row>
    <row r="129" spans="1:6" s="15" customFormat="1" ht="12.75">
      <c r="A129" s="462"/>
      <c r="F129" s="462"/>
    </row>
    <row r="130" spans="1:6" s="15" customFormat="1" ht="12.75">
      <c r="A130" s="462"/>
      <c r="F130" s="462"/>
    </row>
    <row r="131" spans="1:6" s="15" customFormat="1" ht="12.75">
      <c r="A131" s="462"/>
      <c r="F131" s="462"/>
    </row>
    <row r="132" spans="1:6" s="15" customFormat="1" ht="12.75">
      <c r="A132" s="462"/>
      <c r="F132" s="462"/>
    </row>
    <row r="133" spans="1:6" s="15" customFormat="1" ht="12.75">
      <c r="A133" s="462"/>
      <c r="F133" s="462"/>
    </row>
    <row r="134" spans="1:6" s="15" customFormat="1" ht="12.75">
      <c r="A134" s="462"/>
      <c r="F134" s="462"/>
    </row>
  </sheetData>
  <mergeCells count="39">
    <mergeCell ref="B7:H7"/>
    <mergeCell ref="I67:J67"/>
    <mergeCell ref="A9:A13"/>
    <mergeCell ref="B9:B13"/>
    <mergeCell ref="C9:C13"/>
    <mergeCell ref="D9:D13"/>
    <mergeCell ref="E9:F10"/>
    <mergeCell ref="G9:H9"/>
    <mergeCell ref="I9:I13"/>
    <mergeCell ref="J9:M9"/>
    <mergeCell ref="G10:H10"/>
    <mergeCell ref="J10:J13"/>
    <mergeCell ref="K10:M10"/>
    <mergeCell ref="G11:G13"/>
    <mergeCell ref="H11:H13"/>
    <mergeCell ref="K11:K13"/>
    <mergeCell ref="A58:B58"/>
    <mergeCell ref="A46:B46"/>
    <mergeCell ref="L11:M12"/>
    <mergeCell ref="A15:M15"/>
    <mergeCell ref="A23:M23"/>
    <mergeCell ref="A25:B25"/>
    <mergeCell ref="A22:B22"/>
    <mergeCell ref="A26:M26"/>
    <mergeCell ref="A33:M33"/>
    <mergeCell ref="A32:B32"/>
    <mergeCell ref="A47:M47"/>
    <mergeCell ref="A85:M85"/>
    <mergeCell ref="C86:D86"/>
    <mergeCell ref="E86:F86"/>
    <mergeCell ref="E80:F80"/>
    <mergeCell ref="E83:F83"/>
    <mergeCell ref="A62:B62"/>
    <mergeCell ref="E77:F77"/>
    <mergeCell ref="E78:F78"/>
    <mergeCell ref="A59:B59"/>
    <mergeCell ref="A60:B60"/>
    <mergeCell ref="A61:B61"/>
    <mergeCell ref="A63:B63"/>
  </mergeCells>
  <printOptions/>
  <pageMargins left="0" right="0" top="1.1811023622047245" bottom="0.3937007874015748" header="0" footer="0"/>
  <pageSetup horizontalDpi="600" verticalDpi="600" orientation="landscape" paperSize="9" scale="54" r:id="rId1"/>
  <rowBreaks count="3" manualBreakCount="3">
    <brk id="25" max="17" man="1"/>
    <brk id="41" max="17" man="1"/>
    <brk id="67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/>
  </sheetViews>
  <sheetFormatPr defaultColWidth="9.140625" defaultRowHeight="12.75"/>
  <sheetData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="69" zoomScaleNormal="69" workbookViewId="0" topLeftCell="A25">
      <selection activeCell="S33" sqref="S33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1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0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11.28125" style="10" customWidth="1"/>
    <col min="19" max="19" width="25.28125" style="10" customWidth="1"/>
    <col min="20" max="20" width="9.140625" style="10" customWidth="1"/>
    <col min="21" max="21" width="20.7109375" style="10" customWidth="1"/>
    <col min="22" max="22" width="24.28125" style="10" customWidth="1"/>
    <col min="23" max="16384" width="9.140625" style="10" customWidth="1"/>
  </cols>
  <sheetData>
    <row r="1" spans="1:256" ht="18.75">
      <c r="A1" s="2"/>
      <c r="B1" s="2" t="s">
        <v>0</v>
      </c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1"/>
      <c r="O1" s="1" t="s">
        <v>33</v>
      </c>
      <c r="P1" s="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1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1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1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1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1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1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1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1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1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1"/>
      <c r="IT1" s="2"/>
      <c r="IU1" s="2"/>
      <c r="IV1" s="2"/>
    </row>
    <row r="2" spans="1:256" ht="18.75">
      <c r="A2" s="2"/>
      <c r="B2" s="2" t="s">
        <v>42</v>
      </c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  <c r="N2" s="2"/>
      <c r="O2" s="1"/>
      <c r="P2" s="1" t="s">
        <v>34</v>
      </c>
      <c r="Q2" s="2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1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1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1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1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1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1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1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1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1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1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1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1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1"/>
      <c r="IU2" s="2"/>
      <c r="IV2" s="2"/>
    </row>
    <row r="3" spans="1:256" ht="18.75">
      <c r="A3" s="2"/>
      <c r="B3" s="2" t="s">
        <v>5</v>
      </c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  <c r="N3" s="2"/>
      <c r="O3" s="1"/>
      <c r="P3" s="1"/>
      <c r="Q3" s="2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1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1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1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1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1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1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1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1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1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1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1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1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1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1"/>
      <c r="IU3" s="2"/>
      <c r="IV3" s="2"/>
    </row>
    <row r="4" spans="1:256" ht="18.75">
      <c r="A4" s="2"/>
      <c r="B4" s="2" t="s">
        <v>43</v>
      </c>
      <c r="C4" s="2"/>
      <c r="D4" s="2"/>
      <c r="E4" s="2"/>
      <c r="F4" s="2" t="s">
        <v>6</v>
      </c>
      <c r="G4" s="2"/>
      <c r="H4" s="2"/>
      <c r="I4" s="2"/>
      <c r="J4" s="2"/>
      <c r="K4" s="2"/>
      <c r="L4" s="2"/>
      <c r="M4" s="2"/>
      <c r="N4" s="2"/>
      <c r="O4" s="1"/>
      <c r="P4" s="1" t="s">
        <v>62</v>
      </c>
      <c r="Q4" s="2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1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1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1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1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1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1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1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1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1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1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1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1"/>
      <c r="IU4" s="2"/>
      <c r="IV4" s="2"/>
    </row>
    <row r="5" spans="1:256" ht="18.75">
      <c r="A5" s="2"/>
      <c r="B5" s="2" t="s">
        <v>60</v>
      </c>
      <c r="C5" s="2"/>
      <c r="D5" s="2"/>
      <c r="E5" s="2"/>
      <c r="F5" s="2" t="s">
        <v>61</v>
      </c>
      <c r="G5" s="2"/>
      <c r="H5" s="2"/>
      <c r="I5" s="2"/>
      <c r="J5" s="2"/>
      <c r="K5" s="2"/>
      <c r="L5" s="2"/>
      <c r="M5" s="2"/>
      <c r="N5" s="2"/>
      <c r="O5" s="1"/>
      <c r="P5" s="2" t="s">
        <v>35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1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1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1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1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1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1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1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1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1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1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1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1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1"/>
      <c r="IU5" s="2"/>
      <c r="IV5" s="2"/>
    </row>
    <row r="7" spans="1:16" ht="18.75" customHeight="1">
      <c r="A7" s="11"/>
      <c r="C7" s="631" t="s">
        <v>59</v>
      </c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</row>
    <row r="8" ht="11.25" customHeight="1">
      <c r="A8" s="11"/>
    </row>
    <row r="9" spans="1:19" ht="43.5" customHeight="1">
      <c r="A9" s="632" t="s">
        <v>4</v>
      </c>
      <c r="B9" s="635" t="s">
        <v>14</v>
      </c>
      <c r="C9" s="632" t="s">
        <v>15</v>
      </c>
      <c r="D9" s="635" t="s">
        <v>16</v>
      </c>
      <c r="E9" s="638"/>
      <c r="F9" s="635" t="s">
        <v>17</v>
      </c>
      <c r="G9" s="641"/>
      <c r="H9" s="638"/>
      <c r="I9" s="643" t="s">
        <v>18</v>
      </c>
      <c r="J9" s="644"/>
      <c r="K9" s="644"/>
      <c r="L9" s="645"/>
      <c r="M9" s="635" t="s">
        <v>65</v>
      </c>
      <c r="N9" s="638"/>
      <c r="O9" s="643" t="s">
        <v>68</v>
      </c>
      <c r="P9" s="644"/>
      <c r="Q9" s="644"/>
      <c r="R9" s="644"/>
      <c r="S9" s="645"/>
    </row>
    <row r="10" spans="1:19" ht="18.75" customHeight="1">
      <c r="A10" s="633"/>
      <c r="B10" s="636"/>
      <c r="C10" s="633"/>
      <c r="D10" s="636"/>
      <c r="E10" s="639"/>
      <c r="F10" s="637"/>
      <c r="G10" s="642"/>
      <c r="H10" s="640"/>
      <c r="I10" s="643" t="s">
        <v>77</v>
      </c>
      <c r="J10" s="644"/>
      <c r="K10" s="644"/>
      <c r="L10" s="645"/>
      <c r="M10" s="636"/>
      <c r="N10" s="639"/>
      <c r="O10" s="648" t="s">
        <v>19</v>
      </c>
      <c r="P10" s="644"/>
      <c r="Q10" s="644"/>
      <c r="R10" s="644"/>
      <c r="S10" s="645"/>
    </row>
    <row r="11" spans="1:19" ht="18.75" customHeight="1">
      <c r="A11" s="633"/>
      <c r="B11" s="636"/>
      <c r="C11" s="633"/>
      <c r="D11" s="636"/>
      <c r="E11" s="639"/>
      <c r="F11" s="12" t="s">
        <v>20</v>
      </c>
      <c r="G11" s="643" t="s">
        <v>21</v>
      </c>
      <c r="H11" s="645"/>
      <c r="I11" s="635" t="s">
        <v>22</v>
      </c>
      <c r="J11" s="638"/>
      <c r="K11" s="12"/>
      <c r="L11" s="632" t="s">
        <v>23</v>
      </c>
      <c r="M11" s="636"/>
      <c r="N11" s="639"/>
      <c r="O11" s="649"/>
      <c r="P11" s="638" t="s">
        <v>66</v>
      </c>
      <c r="Q11" s="635" t="s">
        <v>67</v>
      </c>
      <c r="R11" s="641"/>
      <c r="S11" s="638"/>
    </row>
    <row r="12" spans="1:19" ht="18.75" customHeight="1">
      <c r="A12" s="633"/>
      <c r="B12" s="636"/>
      <c r="C12" s="633"/>
      <c r="D12" s="636"/>
      <c r="E12" s="639"/>
      <c r="F12" s="12" t="s">
        <v>69</v>
      </c>
      <c r="G12" s="643" t="s">
        <v>69</v>
      </c>
      <c r="H12" s="645"/>
      <c r="I12" s="636"/>
      <c r="J12" s="639"/>
      <c r="K12" s="12"/>
      <c r="L12" s="633"/>
      <c r="M12" s="636"/>
      <c r="N12" s="639"/>
      <c r="O12" s="649"/>
      <c r="P12" s="639"/>
      <c r="Q12" s="637"/>
      <c r="R12" s="642"/>
      <c r="S12" s="640"/>
    </row>
    <row r="13" spans="1:19" ht="95.25" customHeight="1">
      <c r="A13" s="634"/>
      <c r="B13" s="637"/>
      <c r="C13" s="634"/>
      <c r="D13" s="637"/>
      <c r="E13" s="640"/>
      <c r="F13" s="12" t="s">
        <v>63</v>
      </c>
      <c r="G13" s="643" t="s">
        <v>64</v>
      </c>
      <c r="H13" s="645"/>
      <c r="I13" s="637"/>
      <c r="J13" s="640"/>
      <c r="K13" s="12"/>
      <c r="L13" s="634"/>
      <c r="M13" s="637"/>
      <c r="N13" s="640"/>
      <c r="O13" s="650"/>
      <c r="P13" s="640"/>
      <c r="Q13" s="643" t="s">
        <v>24</v>
      </c>
      <c r="R13" s="645"/>
      <c r="S13" s="12" t="s">
        <v>25</v>
      </c>
    </row>
    <row r="14" spans="1:19" ht="18.75">
      <c r="A14" s="13">
        <v>1</v>
      </c>
      <c r="B14" s="73">
        <v>2</v>
      </c>
      <c r="C14" s="13">
        <v>3</v>
      </c>
      <c r="D14" s="646">
        <v>4</v>
      </c>
      <c r="E14" s="647"/>
      <c r="F14" s="13">
        <v>5</v>
      </c>
      <c r="G14" s="646">
        <v>6</v>
      </c>
      <c r="H14" s="647"/>
      <c r="I14" s="646">
        <v>7</v>
      </c>
      <c r="J14" s="647"/>
      <c r="K14" s="13"/>
      <c r="L14" s="13">
        <v>8</v>
      </c>
      <c r="M14" s="646">
        <v>9</v>
      </c>
      <c r="N14" s="647"/>
      <c r="O14" s="14">
        <v>10</v>
      </c>
      <c r="P14" s="74">
        <v>11</v>
      </c>
      <c r="Q14" s="646">
        <v>12</v>
      </c>
      <c r="R14" s="647"/>
      <c r="S14" s="13">
        <v>13</v>
      </c>
    </row>
    <row r="15" spans="1:33" ht="36" customHeight="1">
      <c r="A15" s="603" t="s">
        <v>26</v>
      </c>
      <c r="B15" s="604"/>
      <c r="C15" s="604"/>
      <c r="D15" s="604"/>
      <c r="E15" s="604"/>
      <c r="F15" s="604"/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65.25" customHeight="1">
      <c r="A16" s="16">
        <v>1</v>
      </c>
      <c r="B16" s="17" t="s">
        <v>48</v>
      </c>
      <c r="C16" s="18">
        <v>567</v>
      </c>
      <c r="D16" s="618">
        <v>567</v>
      </c>
      <c r="E16" s="619"/>
      <c r="F16" s="81" t="s">
        <v>76</v>
      </c>
      <c r="G16" s="81"/>
      <c r="H16" s="109" t="s">
        <v>75</v>
      </c>
      <c r="I16" s="612">
        <f>75245.2</f>
        <v>75245.2</v>
      </c>
      <c r="J16" s="613"/>
      <c r="K16" s="93">
        <v>0.9</v>
      </c>
      <c r="L16" s="42">
        <v>75245.2</v>
      </c>
      <c r="M16" s="627">
        <v>64742.8</v>
      </c>
      <c r="N16" s="628"/>
      <c r="O16" s="42">
        <f>Q16+S16</f>
        <v>10502.399999999994</v>
      </c>
      <c r="P16" s="107">
        <f>0</f>
        <v>0</v>
      </c>
      <c r="Q16" s="620">
        <f>0</f>
        <v>0</v>
      </c>
      <c r="R16" s="621"/>
      <c r="S16" s="3">
        <f>L16-M16</f>
        <v>10502.399999999994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66.75" customHeight="1">
      <c r="A17" s="16">
        <v>2</v>
      </c>
      <c r="B17" s="22" t="s">
        <v>44</v>
      </c>
      <c r="C17" s="18">
        <v>377</v>
      </c>
      <c r="D17" s="618">
        <v>377</v>
      </c>
      <c r="E17" s="619"/>
      <c r="F17" s="81" t="s">
        <v>76</v>
      </c>
      <c r="G17" s="606" t="s">
        <v>11</v>
      </c>
      <c r="H17" s="607"/>
      <c r="I17" s="612">
        <v>106395</v>
      </c>
      <c r="J17" s="613"/>
      <c r="K17" s="94">
        <v>0.9</v>
      </c>
      <c r="L17" s="52">
        <v>90679.51</v>
      </c>
      <c r="M17" s="653">
        <v>3484.21</v>
      </c>
      <c r="N17" s="654"/>
      <c r="O17" s="42">
        <f>Q17+S17</f>
        <v>90679.51000000001</v>
      </c>
      <c r="P17" s="107">
        <f>0</f>
        <v>0</v>
      </c>
      <c r="Q17" s="612">
        <f>69901.38</f>
        <v>69901.38</v>
      </c>
      <c r="R17" s="613"/>
      <c r="S17" s="3">
        <f>20778.13</f>
        <v>20778.13</v>
      </c>
      <c r="U17" s="589"/>
      <c r="V17" s="589"/>
      <c r="W17" s="69"/>
      <c r="X17" s="651"/>
      <c r="Y17" s="651"/>
      <c r="Z17" s="72"/>
      <c r="AA17" s="652"/>
      <c r="AB17" s="652"/>
      <c r="AC17" s="15"/>
      <c r="AD17" s="15"/>
      <c r="AE17" s="15"/>
      <c r="AF17" s="15"/>
      <c r="AG17" s="15"/>
    </row>
    <row r="18" spans="1:33" ht="63.75" customHeight="1" hidden="1">
      <c r="A18" s="16">
        <v>3</v>
      </c>
      <c r="B18" s="78"/>
      <c r="C18" s="18"/>
      <c r="D18" s="618"/>
      <c r="E18" s="619"/>
      <c r="F18" s="81"/>
      <c r="G18" s="606" t="s">
        <v>8</v>
      </c>
      <c r="H18" s="607"/>
      <c r="I18" s="612"/>
      <c r="J18" s="613"/>
      <c r="K18" s="94"/>
      <c r="L18" s="144"/>
      <c r="M18" s="625"/>
      <c r="N18" s="626"/>
      <c r="O18" s="144"/>
      <c r="P18" s="95"/>
      <c r="Q18" s="612"/>
      <c r="R18" s="613"/>
      <c r="S18" s="9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27" ht="62.25" customHeight="1" hidden="1">
      <c r="A19" s="16">
        <v>4</v>
      </c>
      <c r="B19" s="78"/>
      <c r="C19" s="18"/>
      <c r="D19" s="590"/>
      <c r="E19" s="591"/>
      <c r="F19" s="81"/>
      <c r="G19" s="606" t="s">
        <v>12</v>
      </c>
      <c r="H19" s="607"/>
      <c r="I19" s="612"/>
      <c r="J19" s="613"/>
      <c r="K19" s="94"/>
      <c r="L19" s="144"/>
      <c r="M19" s="625"/>
      <c r="N19" s="626"/>
      <c r="O19" s="144"/>
      <c r="P19" s="95"/>
      <c r="Q19" s="612"/>
      <c r="R19" s="613"/>
      <c r="S19" s="94"/>
      <c r="AA19" s="19" t="s">
        <v>3</v>
      </c>
    </row>
    <row r="20" spans="1:19" ht="69.75" customHeight="1" hidden="1">
      <c r="A20" s="16">
        <v>5</v>
      </c>
      <c r="B20" s="79"/>
      <c r="C20" s="18"/>
      <c r="D20" s="590"/>
      <c r="E20" s="591"/>
      <c r="F20" s="81"/>
      <c r="G20" s="606" t="s">
        <v>7</v>
      </c>
      <c r="H20" s="607"/>
      <c r="I20" s="612"/>
      <c r="J20" s="613"/>
      <c r="K20" s="94"/>
      <c r="L20" s="144"/>
      <c r="M20" s="625"/>
      <c r="N20" s="626"/>
      <c r="O20" s="144"/>
      <c r="P20" s="95"/>
      <c r="Q20" s="629"/>
      <c r="R20" s="630"/>
      <c r="S20" s="97"/>
    </row>
    <row r="21" spans="1:19" ht="51.75" customHeight="1">
      <c r="A21" s="16">
        <v>3</v>
      </c>
      <c r="B21" s="17" t="s">
        <v>30</v>
      </c>
      <c r="C21" s="18">
        <v>502</v>
      </c>
      <c r="D21" s="618">
        <v>502</v>
      </c>
      <c r="E21" s="619"/>
      <c r="F21" s="81" t="s">
        <v>76</v>
      </c>
      <c r="G21" s="606" t="s">
        <v>75</v>
      </c>
      <c r="H21" s="607"/>
      <c r="I21" s="627">
        <v>110501.12</v>
      </c>
      <c r="J21" s="628"/>
      <c r="K21" s="94">
        <v>0.9</v>
      </c>
      <c r="L21" s="52">
        <v>99451</v>
      </c>
      <c r="M21" s="620">
        <f>5555.65+15059.6</f>
        <v>20615.25</v>
      </c>
      <c r="N21" s="621"/>
      <c r="O21" s="42">
        <f>Q21+S21</f>
        <v>93895.35</v>
      </c>
      <c r="P21" s="107">
        <f>0</f>
        <v>0</v>
      </c>
      <c r="Q21" s="612">
        <f>61000</f>
        <v>61000</v>
      </c>
      <c r="R21" s="613"/>
      <c r="S21" s="3">
        <f>38451-5555.65</f>
        <v>32895.35</v>
      </c>
    </row>
    <row r="22" spans="1:19" ht="70.5" customHeight="1">
      <c r="A22" s="16">
        <v>4</v>
      </c>
      <c r="B22" s="22" t="s">
        <v>37</v>
      </c>
      <c r="C22" s="18">
        <v>1064</v>
      </c>
      <c r="D22" s="618">
        <v>1064</v>
      </c>
      <c r="E22" s="619"/>
      <c r="F22" s="81" t="s">
        <v>76</v>
      </c>
      <c r="G22" s="606" t="s">
        <v>12</v>
      </c>
      <c r="H22" s="607"/>
      <c r="I22" s="612">
        <v>114278</v>
      </c>
      <c r="J22" s="613"/>
      <c r="K22" s="94">
        <v>0.9</v>
      </c>
      <c r="L22" s="52">
        <f>I22*K22</f>
        <v>102850.2</v>
      </c>
      <c r="M22" s="620">
        <v>19541</v>
      </c>
      <c r="N22" s="621"/>
      <c r="O22" s="52">
        <f>Q22+S22</f>
        <v>83309.18</v>
      </c>
      <c r="P22" s="107">
        <f>0</f>
        <v>0</v>
      </c>
      <c r="Q22" s="612">
        <f>60000-4701.13</f>
        <v>55298.87</v>
      </c>
      <c r="R22" s="613"/>
      <c r="S22" s="3">
        <f>(3000+39850.2)-14839.89</f>
        <v>28010.309999999998</v>
      </c>
    </row>
    <row r="23" spans="1:19" ht="55.5" customHeight="1">
      <c r="A23" s="82">
        <v>5</v>
      </c>
      <c r="B23" s="53" t="s">
        <v>38</v>
      </c>
      <c r="C23" s="83">
        <v>1329</v>
      </c>
      <c r="D23" s="658">
        <v>1329</v>
      </c>
      <c r="E23" s="659"/>
      <c r="F23" s="81" t="s">
        <v>76</v>
      </c>
      <c r="G23" s="610" t="s">
        <v>11</v>
      </c>
      <c r="H23" s="611"/>
      <c r="I23" s="612">
        <v>167041.6</v>
      </c>
      <c r="J23" s="613"/>
      <c r="K23" s="100">
        <v>0.9</v>
      </c>
      <c r="L23" s="145">
        <f>I23*K23</f>
        <v>150337.44</v>
      </c>
      <c r="M23" s="614">
        <f>46.05+7000+143.54+167.29+125+7500</f>
        <v>14981.880000000001</v>
      </c>
      <c r="N23" s="615"/>
      <c r="O23" s="145">
        <f>Q23+S23</f>
        <v>142855.56</v>
      </c>
      <c r="P23" s="54">
        <v>0</v>
      </c>
      <c r="Q23" s="616">
        <f>87000</f>
        <v>87000</v>
      </c>
      <c r="R23" s="617"/>
      <c r="S23" s="131">
        <f>(60829.5+2507.94)-7481.88</f>
        <v>55855.560000000005</v>
      </c>
    </row>
    <row r="24" spans="1:19" s="89" customFormat="1" ht="55.5" customHeight="1">
      <c r="A24" s="16">
        <v>6</v>
      </c>
      <c r="B24" s="17" t="s">
        <v>56</v>
      </c>
      <c r="C24" s="18">
        <v>549</v>
      </c>
      <c r="D24" s="75"/>
      <c r="E24" s="18">
        <f>C24</f>
        <v>549</v>
      </c>
      <c r="F24" s="81" t="s">
        <v>76</v>
      </c>
      <c r="G24" s="81"/>
      <c r="H24" s="109" t="s">
        <v>11</v>
      </c>
      <c r="I24" s="627">
        <v>104103</v>
      </c>
      <c r="J24" s="628"/>
      <c r="K24" s="102">
        <v>0.9</v>
      </c>
      <c r="L24" s="42">
        <v>93692.7</v>
      </c>
      <c r="M24" s="612">
        <f>40350.59+14910.2</f>
        <v>55260.78999999999</v>
      </c>
      <c r="N24" s="613"/>
      <c r="O24" s="42">
        <f>P24+Q24+S24</f>
        <v>23521.710000000003</v>
      </c>
      <c r="P24" s="107">
        <f>0</f>
        <v>0</v>
      </c>
      <c r="Q24" s="620">
        <f>0</f>
        <v>0</v>
      </c>
      <c r="R24" s="621"/>
      <c r="S24" s="3">
        <f>L24-M24-14910.2</f>
        <v>23521.710000000003</v>
      </c>
    </row>
    <row r="25" spans="1:21" s="15" customFormat="1" ht="55.5" customHeight="1">
      <c r="A25" s="118"/>
      <c r="B25" s="57" t="s">
        <v>10</v>
      </c>
      <c r="C25" s="18">
        <v>1717</v>
      </c>
      <c r="D25" s="80"/>
      <c r="E25" s="18">
        <f>C25</f>
        <v>1717</v>
      </c>
      <c r="F25" s="81" t="s">
        <v>11</v>
      </c>
      <c r="G25" s="81"/>
      <c r="H25" s="81" t="s">
        <v>7</v>
      </c>
      <c r="I25" s="111">
        <v>126000</v>
      </c>
      <c r="J25" s="112">
        <f>SUM(I25)</f>
        <v>126000</v>
      </c>
      <c r="K25" s="102">
        <v>0.9</v>
      </c>
      <c r="L25" s="42">
        <f>I25*K25</f>
        <v>113400</v>
      </c>
      <c r="M25" s="91"/>
      <c r="N25" s="104">
        <v>0</v>
      </c>
      <c r="O25" s="42">
        <f>Q25+S25</f>
        <v>126000</v>
      </c>
      <c r="P25" s="107">
        <f>0</f>
        <v>0</v>
      </c>
      <c r="Q25" s="620">
        <v>37800</v>
      </c>
      <c r="R25" s="621"/>
      <c r="S25" s="3">
        <v>88200</v>
      </c>
      <c r="T25" s="601">
        <v>75600</v>
      </c>
      <c r="U25" s="602"/>
    </row>
    <row r="26" spans="1:19" s="15" customFormat="1" ht="55.5" customHeight="1">
      <c r="A26" s="16"/>
      <c r="B26" s="57" t="s">
        <v>79</v>
      </c>
      <c r="C26" s="18">
        <v>711.8</v>
      </c>
      <c r="D26" s="80"/>
      <c r="E26" s="18">
        <f>C26</f>
        <v>711.8</v>
      </c>
      <c r="F26" s="109" t="s">
        <v>12</v>
      </c>
      <c r="G26" s="109" t="s">
        <v>9</v>
      </c>
      <c r="H26" s="109" t="s">
        <v>9</v>
      </c>
      <c r="I26" s="111">
        <v>110000</v>
      </c>
      <c r="J26" s="112">
        <f>SUM(I26)</f>
        <v>110000</v>
      </c>
      <c r="K26" s="62">
        <v>0.9</v>
      </c>
      <c r="L26" s="42">
        <f>I26*K26</f>
        <v>99000</v>
      </c>
      <c r="M26" s="91"/>
      <c r="N26" s="104">
        <v>0</v>
      </c>
      <c r="O26" s="3">
        <f>Q26+S26</f>
        <v>110000</v>
      </c>
      <c r="P26" s="107">
        <f>0</f>
        <v>0</v>
      </c>
      <c r="Q26" s="620">
        <v>30000</v>
      </c>
      <c r="R26" s="621"/>
      <c r="S26" s="3">
        <v>80000</v>
      </c>
    </row>
    <row r="27" spans="1:19" s="15" customFormat="1" ht="55.5" customHeight="1">
      <c r="A27" s="16"/>
      <c r="B27" s="58" t="s">
        <v>82</v>
      </c>
      <c r="C27" s="18">
        <v>610</v>
      </c>
      <c r="D27" s="80"/>
      <c r="E27" s="18">
        <f>C27</f>
        <v>610</v>
      </c>
      <c r="F27" s="109" t="s">
        <v>12</v>
      </c>
      <c r="G27" s="109" t="s">
        <v>9</v>
      </c>
      <c r="H27" s="109" t="s">
        <v>9</v>
      </c>
      <c r="I27" s="111">
        <v>110000</v>
      </c>
      <c r="J27" s="112">
        <f>SUM(I27)</f>
        <v>110000</v>
      </c>
      <c r="K27" s="62">
        <v>0.9</v>
      </c>
      <c r="L27" s="42">
        <f>I27*K27</f>
        <v>99000</v>
      </c>
      <c r="M27" s="91"/>
      <c r="N27" s="104">
        <v>0</v>
      </c>
      <c r="O27" s="3">
        <f>Q27+S27</f>
        <v>110000</v>
      </c>
      <c r="P27" s="107">
        <f>0</f>
        <v>0</v>
      </c>
      <c r="Q27" s="620">
        <v>30000</v>
      </c>
      <c r="R27" s="621"/>
      <c r="S27" s="3">
        <v>80000</v>
      </c>
    </row>
    <row r="28" spans="1:19" s="15" customFormat="1" ht="53.25" customHeight="1">
      <c r="A28" s="16"/>
      <c r="B28" s="57" t="s">
        <v>58</v>
      </c>
      <c r="C28" s="18">
        <v>601</v>
      </c>
      <c r="D28" s="80"/>
      <c r="E28" s="18">
        <f>C28</f>
        <v>601</v>
      </c>
      <c r="F28" s="109" t="s">
        <v>7</v>
      </c>
      <c r="G28" s="109"/>
      <c r="H28" s="109" t="s">
        <v>47</v>
      </c>
      <c r="I28" s="111">
        <v>105000</v>
      </c>
      <c r="J28" s="112">
        <f>SUM(I28)</f>
        <v>105000</v>
      </c>
      <c r="K28" s="62">
        <v>0.9</v>
      </c>
      <c r="L28" s="42">
        <f>I28*K28</f>
        <v>94500</v>
      </c>
      <c r="M28" s="91"/>
      <c r="N28" s="104">
        <v>0</v>
      </c>
      <c r="O28" s="3">
        <f>Q28+S28</f>
        <v>105000</v>
      </c>
      <c r="P28" s="107">
        <f>0</f>
        <v>0</v>
      </c>
      <c r="Q28" s="620">
        <v>29000</v>
      </c>
      <c r="R28" s="621"/>
      <c r="S28" s="3">
        <v>76000</v>
      </c>
    </row>
    <row r="29" spans="1:19" s="15" customFormat="1" ht="2.25" customHeight="1" hidden="1">
      <c r="A29" s="16"/>
      <c r="B29" s="17"/>
      <c r="C29" s="18"/>
      <c r="D29" s="18">
        <f>SUM(D16:D28)</f>
        <v>3839</v>
      </c>
      <c r="E29" s="18"/>
      <c r="F29" s="90"/>
      <c r="G29" s="90"/>
      <c r="H29" s="90"/>
      <c r="I29" s="98"/>
      <c r="J29" s="99"/>
      <c r="K29" s="102"/>
      <c r="L29" s="103"/>
      <c r="M29" s="91"/>
      <c r="N29" s="92"/>
      <c r="O29" s="94"/>
      <c r="P29" s="96"/>
      <c r="Q29" s="106"/>
      <c r="R29" s="107"/>
      <c r="S29" s="94"/>
    </row>
    <row r="30" spans="1:19" s="15" customFormat="1" ht="24.75" customHeight="1" hidden="1">
      <c r="A30" s="16"/>
      <c r="B30" s="17"/>
      <c r="C30" s="18"/>
      <c r="D30" s="80"/>
      <c r="E30" s="18"/>
      <c r="F30" s="90"/>
      <c r="G30" s="90"/>
      <c r="H30" s="90"/>
      <c r="I30" s="98"/>
      <c r="J30" s="99"/>
      <c r="K30" s="102"/>
      <c r="L30" s="103"/>
      <c r="M30" s="91"/>
      <c r="N30" s="92"/>
      <c r="O30" s="94"/>
      <c r="P30" s="96"/>
      <c r="Q30" s="106"/>
      <c r="R30" s="107"/>
      <c r="S30" s="94"/>
    </row>
    <row r="31" spans="1:19" s="15" customFormat="1" ht="38.25" customHeight="1" hidden="1">
      <c r="A31" s="16"/>
      <c r="B31" s="17"/>
      <c r="C31" s="18"/>
      <c r="D31" s="80"/>
      <c r="E31" s="18"/>
      <c r="F31" s="90"/>
      <c r="G31" s="90"/>
      <c r="H31" s="90"/>
      <c r="I31" s="98"/>
      <c r="J31" s="99"/>
      <c r="K31" s="102"/>
      <c r="L31" s="103"/>
      <c r="M31" s="91"/>
      <c r="N31" s="92"/>
      <c r="O31" s="94"/>
      <c r="P31" s="96"/>
      <c r="Q31" s="106"/>
      <c r="R31" s="107"/>
      <c r="S31" s="94"/>
    </row>
    <row r="32" spans="1:19" s="15" customFormat="1" ht="38.25" customHeight="1" hidden="1">
      <c r="A32" s="16"/>
      <c r="B32" s="16"/>
      <c r="C32" s="18"/>
      <c r="D32" s="18"/>
      <c r="E32" s="18"/>
      <c r="F32" s="76"/>
      <c r="G32" s="76"/>
      <c r="H32" s="76"/>
      <c r="I32" s="3"/>
      <c r="J32" s="3"/>
      <c r="K32" s="3"/>
      <c r="L32" s="77"/>
      <c r="M32" s="77"/>
      <c r="N32" s="77"/>
      <c r="O32" s="77"/>
      <c r="P32" s="77"/>
      <c r="Q32" s="612"/>
      <c r="R32" s="613"/>
      <c r="S32" s="3"/>
    </row>
    <row r="33" spans="1:21" ht="42" customHeight="1">
      <c r="A33" s="660" t="s">
        <v>31</v>
      </c>
      <c r="B33" s="661"/>
      <c r="C33" s="84">
        <f>SUM(C16:C32)</f>
        <v>8027.8</v>
      </c>
      <c r="D33" s="84">
        <f>SUM(D16:D32)</f>
        <v>7678</v>
      </c>
      <c r="E33" s="84">
        <f>SUM(D16:E28)</f>
        <v>8027.8</v>
      </c>
      <c r="F33" s="85"/>
      <c r="G33" s="85"/>
      <c r="H33" s="85"/>
      <c r="I33" s="662">
        <f>SUM(I16:I32)</f>
        <v>1128563.92</v>
      </c>
      <c r="J33" s="663"/>
      <c r="K33" s="86"/>
      <c r="L33" s="87">
        <f>SUM(L16:L32)</f>
        <v>1018156.0499999999</v>
      </c>
      <c r="M33" s="664">
        <f>SUM(M16:M32)</f>
        <v>178625.93</v>
      </c>
      <c r="N33" s="665"/>
      <c r="O33" s="87">
        <f>SUM(O16:O32)</f>
        <v>895763.71</v>
      </c>
      <c r="P33" s="87">
        <v>0</v>
      </c>
      <c r="Q33" s="666">
        <f>SUM(Q16:Q32)</f>
        <v>400000.25</v>
      </c>
      <c r="R33" s="667"/>
      <c r="S33" s="88">
        <f>SUM(S16:S32)</f>
        <v>495763.45999999996</v>
      </c>
      <c r="T33" s="147">
        <v>388051.8</v>
      </c>
      <c r="U33" s="55">
        <v>267229.56</v>
      </c>
    </row>
    <row r="34" spans="1:19" ht="51.75" customHeight="1" hidden="1">
      <c r="A34" s="4"/>
      <c r="B34" s="6" t="s">
        <v>46</v>
      </c>
      <c r="C34" s="622"/>
      <c r="D34" s="623"/>
      <c r="E34" s="5"/>
      <c r="F34" s="622"/>
      <c r="G34" s="623"/>
      <c r="H34" s="4"/>
      <c r="I34" s="622"/>
      <c r="J34" s="623"/>
      <c r="K34" s="4"/>
      <c r="L34" s="622"/>
      <c r="M34" s="623"/>
      <c r="N34" s="4"/>
      <c r="O34" s="9"/>
      <c r="P34" s="7"/>
      <c r="Q34" s="624"/>
      <c r="R34" s="623"/>
      <c r="S34" s="24">
        <v>155000</v>
      </c>
    </row>
    <row r="35" spans="1:19" ht="26.25" customHeight="1" hidden="1">
      <c r="A35" s="30"/>
      <c r="B35" s="136" t="s">
        <v>84</v>
      </c>
      <c r="C35" s="30"/>
      <c r="D35" s="30"/>
      <c r="E35" s="137"/>
      <c r="F35" s="30"/>
      <c r="G35" s="30"/>
      <c r="H35" s="30"/>
      <c r="I35" s="30"/>
      <c r="J35" s="30"/>
      <c r="K35" s="30"/>
      <c r="L35" s="30"/>
      <c r="M35" s="30"/>
      <c r="N35" s="30"/>
      <c r="O35" s="138"/>
      <c r="P35" s="139"/>
      <c r="Q35" s="668">
        <v>127</v>
      </c>
      <c r="R35" s="668"/>
      <c r="S35" s="28">
        <v>258297.66</v>
      </c>
    </row>
    <row r="36" spans="1:19" ht="41.25" customHeight="1">
      <c r="A36" s="655" t="s">
        <v>27</v>
      </c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7"/>
    </row>
    <row r="37" spans="1:25" s="113" customFormat="1" ht="80.25" customHeight="1">
      <c r="A37" s="16">
        <v>2</v>
      </c>
      <c r="B37" s="17" t="s">
        <v>52</v>
      </c>
      <c r="C37" s="590">
        <v>581</v>
      </c>
      <c r="D37" s="591"/>
      <c r="E37" s="18" t="s">
        <v>39</v>
      </c>
      <c r="F37" s="606" t="s">
        <v>11</v>
      </c>
      <c r="G37" s="607"/>
      <c r="H37" s="109" t="s">
        <v>47</v>
      </c>
      <c r="I37" s="590"/>
      <c r="J37" s="591"/>
      <c r="K37" s="105"/>
      <c r="L37" s="590"/>
      <c r="M37" s="591"/>
      <c r="N37" s="110">
        <v>0</v>
      </c>
      <c r="O37" s="110">
        <f>S37</f>
        <v>8535.94</v>
      </c>
      <c r="P37" s="110">
        <f>0</f>
        <v>0</v>
      </c>
      <c r="Q37" s="620">
        <f>0</f>
        <v>0</v>
      </c>
      <c r="R37" s="621"/>
      <c r="S37" s="110">
        <v>8535.94</v>
      </c>
      <c r="W37" s="113" t="s">
        <v>3</v>
      </c>
      <c r="Y37" s="114"/>
    </row>
    <row r="38" spans="1:25" s="113" customFormat="1" ht="78" customHeight="1">
      <c r="A38" s="16">
        <v>3</v>
      </c>
      <c r="B38" s="17" t="s">
        <v>53</v>
      </c>
      <c r="C38" s="18">
        <v>405</v>
      </c>
      <c r="D38" s="108"/>
      <c r="E38" s="108" t="s">
        <v>39</v>
      </c>
      <c r="F38" s="108" t="s">
        <v>7</v>
      </c>
      <c r="G38" s="108"/>
      <c r="H38" s="108" t="s">
        <v>7</v>
      </c>
      <c r="I38" s="612">
        <v>2028.02</v>
      </c>
      <c r="J38" s="613"/>
      <c r="K38" s="20">
        <v>0.9</v>
      </c>
      <c r="L38" s="3">
        <f>O38</f>
        <v>2028.02</v>
      </c>
      <c r="M38" s="612">
        <v>0</v>
      </c>
      <c r="N38" s="613"/>
      <c r="O38" s="3">
        <f>'[1]Подрядный способ'!$J$5</f>
        <v>2028.02</v>
      </c>
      <c r="P38" s="107">
        <f>0</f>
        <v>0</v>
      </c>
      <c r="Q38" s="620">
        <f>0</f>
        <v>0</v>
      </c>
      <c r="R38" s="621"/>
      <c r="S38" s="3">
        <f>O38</f>
        <v>2028.02</v>
      </c>
      <c r="Y38" s="114"/>
    </row>
    <row r="39" spans="1:24" s="113" customFormat="1" ht="87" customHeight="1">
      <c r="A39" s="16">
        <v>4</v>
      </c>
      <c r="B39" s="17" t="s">
        <v>54</v>
      </c>
      <c r="C39" s="18">
        <v>903</v>
      </c>
      <c r="D39" s="590" t="s">
        <v>39</v>
      </c>
      <c r="E39" s="591"/>
      <c r="F39" s="108" t="s">
        <v>7</v>
      </c>
      <c r="G39" s="590" t="s">
        <v>7</v>
      </c>
      <c r="H39" s="591"/>
      <c r="I39" s="612">
        <v>2327.06</v>
      </c>
      <c r="J39" s="613"/>
      <c r="K39" s="20">
        <v>0.9</v>
      </c>
      <c r="L39" s="3">
        <f>O39</f>
        <v>2327.06</v>
      </c>
      <c r="M39" s="612">
        <v>0</v>
      </c>
      <c r="N39" s="613"/>
      <c r="O39" s="3">
        <f>'[1]Подрядный способ'!$J$6</f>
        <v>2327.06</v>
      </c>
      <c r="P39" s="107">
        <f>0</f>
        <v>0</v>
      </c>
      <c r="Q39" s="620">
        <f>0</f>
        <v>0</v>
      </c>
      <c r="R39" s="621"/>
      <c r="S39" s="3">
        <f>O39</f>
        <v>2327.06</v>
      </c>
      <c r="X39" s="114"/>
    </row>
    <row r="40" spans="1:25" ht="38.25" customHeight="1">
      <c r="A40" s="30"/>
      <c r="B40" s="117" t="s">
        <v>32</v>
      </c>
      <c r="C40" s="31"/>
      <c r="D40" s="32"/>
      <c r="E40" s="32"/>
      <c r="F40" s="32"/>
      <c r="G40" s="32"/>
      <c r="H40" s="32"/>
      <c r="I40" s="662">
        <f>SUM(I37:J39)</f>
        <v>4355.08</v>
      </c>
      <c r="J40" s="663"/>
      <c r="K40" s="33"/>
      <c r="L40" s="29">
        <f>SUM(L37:L39)</f>
        <v>4355.08</v>
      </c>
      <c r="M40" s="662">
        <f>SUM(M37:N39)</f>
        <v>0</v>
      </c>
      <c r="N40" s="663"/>
      <c r="O40" s="29">
        <f>P40+Q40+S40</f>
        <v>12891.02</v>
      </c>
      <c r="P40" s="116">
        <f>SUM(P33:P39)</f>
        <v>0</v>
      </c>
      <c r="Q40" s="669">
        <f>SUM(Q37:R39)</f>
        <v>0</v>
      </c>
      <c r="R40" s="670"/>
      <c r="S40" s="29">
        <f>SUM(S37:S39)</f>
        <v>12891.02</v>
      </c>
      <c r="Y40" s="47"/>
    </row>
    <row r="41" spans="1:25" ht="44.25" customHeight="1">
      <c r="A41" s="4"/>
      <c r="B41" s="6" t="s">
        <v>46</v>
      </c>
      <c r="C41" s="34"/>
      <c r="D41" s="35"/>
      <c r="E41" s="35"/>
      <c r="F41" s="35"/>
      <c r="G41" s="35"/>
      <c r="H41" s="35"/>
      <c r="I41" s="36"/>
      <c r="J41" s="37"/>
      <c r="K41" s="38"/>
      <c r="L41" s="39"/>
      <c r="M41" s="36"/>
      <c r="N41" s="40"/>
      <c r="O41" s="39"/>
      <c r="P41" s="68"/>
      <c r="Q41" s="67"/>
      <c r="R41" s="37"/>
      <c r="S41" s="39">
        <f>S40</f>
        <v>12891.02</v>
      </c>
      <c r="Y41" s="47"/>
    </row>
    <row r="42" spans="1:25" ht="0.75" customHeight="1">
      <c r="A42" s="655" t="s">
        <v>28</v>
      </c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7"/>
      <c r="Y42" s="47"/>
    </row>
    <row r="43" spans="1:25" s="45" customFormat="1" ht="75.75" customHeight="1" hidden="1">
      <c r="A43" s="8" t="s">
        <v>41</v>
      </c>
      <c r="B43" s="65" t="s">
        <v>41</v>
      </c>
      <c r="C43" s="46" t="s">
        <v>41</v>
      </c>
      <c r="D43" s="8"/>
      <c r="E43" s="8" t="s">
        <v>41</v>
      </c>
      <c r="F43" s="8" t="s">
        <v>41</v>
      </c>
      <c r="G43" s="8"/>
      <c r="H43" s="8" t="s">
        <v>41</v>
      </c>
      <c r="I43" s="70" t="s">
        <v>41</v>
      </c>
      <c r="J43" s="66"/>
      <c r="K43" s="66"/>
      <c r="L43" s="42" t="s">
        <v>41</v>
      </c>
      <c r="M43" s="70"/>
      <c r="N43" s="71" t="s">
        <v>41</v>
      </c>
      <c r="O43" s="42" t="s">
        <v>41</v>
      </c>
      <c r="P43" s="43" t="s">
        <v>41</v>
      </c>
      <c r="Q43" s="44" t="s">
        <v>41</v>
      </c>
      <c r="R43" s="66"/>
      <c r="S43" s="42" t="s">
        <v>41</v>
      </c>
      <c r="Y43" s="47"/>
    </row>
    <row r="44" spans="1:25" s="45" customFormat="1" ht="33.75" customHeight="1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Y44" s="47"/>
    </row>
    <row r="45" spans="1:19" ht="46.5" customHeight="1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20" ht="37.5" customHeight="1">
      <c r="A46" s="603" t="s">
        <v>51</v>
      </c>
      <c r="B46" s="604"/>
      <c r="C46" s="604"/>
      <c r="D46" s="604"/>
      <c r="E46" s="604"/>
      <c r="F46" s="604"/>
      <c r="G46" s="604"/>
      <c r="H46" s="604"/>
      <c r="I46" s="604"/>
      <c r="J46" s="604"/>
      <c r="K46" s="604"/>
      <c r="L46" s="604"/>
      <c r="M46" s="604"/>
      <c r="N46" s="604"/>
      <c r="O46" s="604"/>
      <c r="P46" s="604"/>
      <c r="Q46" s="604"/>
      <c r="R46" s="604"/>
      <c r="S46" s="605"/>
      <c r="T46" s="25"/>
    </row>
    <row r="47" spans="1:19" ht="60.75" customHeight="1">
      <c r="A47" s="16" t="s">
        <v>71</v>
      </c>
      <c r="B47" s="133" t="s">
        <v>10</v>
      </c>
      <c r="C47" s="142">
        <v>1717</v>
      </c>
      <c r="D47" s="115"/>
      <c r="E47" s="142">
        <f>C47</f>
        <v>1717</v>
      </c>
      <c r="F47" s="606" t="s">
        <v>74</v>
      </c>
      <c r="G47" s="607"/>
      <c r="H47" s="115" t="s">
        <v>75</v>
      </c>
      <c r="I47" s="590"/>
      <c r="J47" s="591"/>
      <c r="K47" s="105"/>
      <c r="L47" s="590"/>
      <c r="M47" s="591"/>
      <c r="N47" s="110">
        <v>0</v>
      </c>
      <c r="O47" s="110">
        <v>120000</v>
      </c>
      <c r="P47" s="110">
        <v>0</v>
      </c>
      <c r="Q47" s="620">
        <v>0</v>
      </c>
      <c r="R47" s="621"/>
      <c r="S47" s="110">
        <v>12000</v>
      </c>
    </row>
    <row r="48" spans="1:19" ht="63.75" customHeight="1">
      <c r="A48" s="16">
        <v>2</v>
      </c>
      <c r="B48" s="61" t="s">
        <v>36</v>
      </c>
      <c r="C48" s="142">
        <v>329</v>
      </c>
      <c r="D48" s="115"/>
      <c r="E48" s="142"/>
      <c r="F48" s="606" t="s">
        <v>7</v>
      </c>
      <c r="G48" s="607"/>
      <c r="H48" s="115" t="s">
        <v>13</v>
      </c>
      <c r="I48" s="590"/>
      <c r="J48" s="591"/>
      <c r="K48" s="108"/>
      <c r="L48" s="590"/>
      <c r="M48" s="591"/>
      <c r="N48" s="110">
        <v>0</v>
      </c>
      <c r="O48" s="110">
        <f aca="true" t="shared" si="0" ref="O48:O55">S48</f>
        <v>12000</v>
      </c>
      <c r="P48" s="110">
        <f>0</f>
        <v>0</v>
      </c>
      <c r="Q48" s="620">
        <f>0</f>
        <v>0</v>
      </c>
      <c r="R48" s="621"/>
      <c r="S48" s="110">
        <v>12000</v>
      </c>
    </row>
    <row r="49" spans="1:19" ht="63.75" customHeight="1">
      <c r="A49" s="16">
        <v>3</v>
      </c>
      <c r="B49" s="133" t="s">
        <v>55</v>
      </c>
      <c r="C49" s="142">
        <v>1206</v>
      </c>
      <c r="D49" s="115"/>
      <c r="E49" s="142"/>
      <c r="F49" s="606" t="s">
        <v>12</v>
      </c>
      <c r="G49" s="607"/>
      <c r="H49" s="115" t="s">
        <v>7</v>
      </c>
      <c r="I49" s="590"/>
      <c r="J49" s="591"/>
      <c r="K49" s="63"/>
      <c r="L49" s="590"/>
      <c r="M49" s="591"/>
      <c r="N49" s="64">
        <v>0</v>
      </c>
      <c r="O49" s="64">
        <f t="shared" si="0"/>
        <v>12000</v>
      </c>
      <c r="P49" s="64">
        <f>0</f>
        <v>0</v>
      </c>
      <c r="Q49" s="620">
        <f>0</f>
        <v>0</v>
      </c>
      <c r="R49" s="621"/>
      <c r="S49" s="64">
        <v>12000</v>
      </c>
    </row>
    <row r="50" spans="1:19" ht="62.25" customHeight="1">
      <c r="A50" s="16">
        <v>4</v>
      </c>
      <c r="B50" s="134" t="s">
        <v>83</v>
      </c>
      <c r="C50" s="142">
        <v>514</v>
      </c>
      <c r="D50" s="115"/>
      <c r="E50" s="142"/>
      <c r="F50" s="606" t="s">
        <v>86</v>
      </c>
      <c r="G50" s="607"/>
      <c r="H50" s="115" t="s">
        <v>13</v>
      </c>
      <c r="I50" s="590"/>
      <c r="J50" s="591"/>
      <c r="K50" s="63"/>
      <c r="L50" s="590"/>
      <c r="M50" s="591"/>
      <c r="N50" s="64">
        <v>0</v>
      </c>
      <c r="O50" s="64">
        <f t="shared" si="0"/>
        <v>10000</v>
      </c>
      <c r="P50" s="64">
        <f>0</f>
        <v>0</v>
      </c>
      <c r="Q50" s="620">
        <f>0</f>
        <v>0</v>
      </c>
      <c r="R50" s="621"/>
      <c r="S50" s="64">
        <v>10000</v>
      </c>
    </row>
    <row r="51" spans="1:19" ht="60.75" customHeight="1">
      <c r="A51" s="16">
        <v>5</v>
      </c>
      <c r="B51" s="61" t="s">
        <v>90</v>
      </c>
      <c r="C51" s="142">
        <v>1036</v>
      </c>
      <c r="D51" s="115"/>
      <c r="E51" s="142"/>
      <c r="F51" s="606" t="s">
        <v>12</v>
      </c>
      <c r="G51" s="607"/>
      <c r="H51" s="115" t="s">
        <v>85</v>
      </c>
      <c r="I51" s="590"/>
      <c r="J51" s="591"/>
      <c r="K51" s="63"/>
      <c r="L51" s="585"/>
      <c r="M51" s="585"/>
      <c r="N51" s="64">
        <v>0</v>
      </c>
      <c r="O51" s="64">
        <f t="shared" si="0"/>
        <v>12000</v>
      </c>
      <c r="P51" s="64">
        <f>0</f>
        <v>0</v>
      </c>
      <c r="Q51" s="673">
        <f>0</f>
        <v>0</v>
      </c>
      <c r="R51" s="673"/>
      <c r="S51" s="64">
        <v>12000</v>
      </c>
    </row>
    <row r="52" spans="1:19" ht="60.75" customHeight="1">
      <c r="A52" s="16">
        <v>6</v>
      </c>
      <c r="B52" s="133" t="s">
        <v>57</v>
      </c>
      <c r="C52" s="146">
        <v>329</v>
      </c>
      <c r="D52" s="115"/>
      <c r="E52" s="142"/>
      <c r="F52" s="606" t="s">
        <v>12</v>
      </c>
      <c r="G52" s="607"/>
      <c r="H52" s="115" t="s">
        <v>7</v>
      </c>
      <c r="I52" s="590"/>
      <c r="J52" s="591"/>
      <c r="K52" s="63"/>
      <c r="L52" s="590"/>
      <c r="M52" s="591"/>
      <c r="N52" s="64">
        <v>0</v>
      </c>
      <c r="O52" s="64">
        <f t="shared" si="0"/>
        <v>12000</v>
      </c>
      <c r="P52" s="64">
        <f>0</f>
        <v>0</v>
      </c>
      <c r="Q52" s="620">
        <f>0</f>
        <v>0</v>
      </c>
      <c r="R52" s="621"/>
      <c r="S52" s="64">
        <v>12000</v>
      </c>
    </row>
    <row r="53" spans="1:19" ht="60.75" customHeight="1">
      <c r="A53" s="16" t="s">
        <v>70</v>
      </c>
      <c r="B53" s="135" t="s">
        <v>79</v>
      </c>
      <c r="C53" s="142">
        <v>767</v>
      </c>
      <c r="D53" s="115"/>
      <c r="E53" s="142">
        <v>767</v>
      </c>
      <c r="F53" s="606" t="s">
        <v>74</v>
      </c>
      <c r="G53" s="607"/>
      <c r="H53" s="115" t="s">
        <v>75</v>
      </c>
      <c r="I53" s="75"/>
      <c r="J53" s="75"/>
      <c r="K53" s="75"/>
      <c r="L53" s="75"/>
      <c r="M53" s="75"/>
      <c r="N53" s="110">
        <v>0</v>
      </c>
      <c r="O53" s="77">
        <f t="shared" si="0"/>
        <v>11000</v>
      </c>
      <c r="P53" s="110">
        <f>0</f>
        <v>0</v>
      </c>
      <c r="Q53" s="620">
        <f>0</f>
        <v>0</v>
      </c>
      <c r="R53" s="621"/>
      <c r="S53" s="77">
        <v>11000</v>
      </c>
    </row>
    <row r="54" spans="1:19" ht="60.75" customHeight="1">
      <c r="A54" s="16" t="s">
        <v>72</v>
      </c>
      <c r="B54" s="140" t="s">
        <v>78</v>
      </c>
      <c r="C54" s="142">
        <v>610</v>
      </c>
      <c r="D54" s="115"/>
      <c r="E54" s="142">
        <v>610</v>
      </c>
      <c r="F54" s="606" t="s">
        <v>74</v>
      </c>
      <c r="G54" s="607"/>
      <c r="H54" s="115" t="s">
        <v>75</v>
      </c>
      <c r="I54" s="75"/>
      <c r="J54" s="75"/>
      <c r="K54" s="75"/>
      <c r="L54" s="75"/>
      <c r="M54" s="75"/>
      <c r="N54" s="110">
        <v>0</v>
      </c>
      <c r="O54" s="77">
        <f t="shared" si="0"/>
        <v>12000</v>
      </c>
      <c r="P54" s="110">
        <f>0</f>
        <v>0</v>
      </c>
      <c r="Q54" s="620">
        <f>0</f>
        <v>0</v>
      </c>
      <c r="R54" s="621"/>
      <c r="S54" s="77">
        <v>12000</v>
      </c>
    </row>
    <row r="55" spans="1:19" ht="60.75" customHeight="1">
      <c r="A55" s="16" t="s">
        <v>73</v>
      </c>
      <c r="B55" s="57" t="s">
        <v>58</v>
      </c>
      <c r="C55" s="142">
        <v>601</v>
      </c>
      <c r="D55" s="115"/>
      <c r="E55" s="142">
        <v>601</v>
      </c>
      <c r="F55" s="606" t="s">
        <v>74</v>
      </c>
      <c r="G55" s="607"/>
      <c r="H55" s="115" t="s">
        <v>75</v>
      </c>
      <c r="I55" s="75"/>
      <c r="J55" s="75"/>
      <c r="K55" s="75"/>
      <c r="L55" s="75"/>
      <c r="M55" s="75"/>
      <c r="N55" s="110">
        <v>0</v>
      </c>
      <c r="O55" s="77">
        <f t="shared" si="0"/>
        <v>12000</v>
      </c>
      <c r="P55" s="110">
        <f>0</f>
        <v>0</v>
      </c>
      <c r="Q55" s="620">
        <f>0</f>
        <v>0</v>
      </c>
      <c r="R55" s="621"/>
      <c r="S55" s="77">
        <v>12000</v>
      </c>
    </row>
    <row r="56" spans="1:19" ht="36.75" customHeight="1">
      <c r="A56" s="16">
        <v>10</v>
      </c>
      <c r="B56" s="132" t="s">
        <v>38</v>
      </c>
      <c r="C56" s="143">
        <v>1329</v>
      </c>
      <c r="D56" s="608">
        <v>1329</v>
      </c>
      <c r="E56" s="609"/>
      <c r="F56" s="115" t="s">
        <v>11</v>
      </c>
      <c r="G56" s="610" t="s">
        <v>47</v>
      </c>
      <c r="H56" s="611"/>
      <c r="I56" s="612"/>
      <c r="J56" s="613"/>
      <c r="K56" s="100">
        <v>0.9</v>
      </c>
      <c r="L56" s="101"/>
      <c r="M56" s="614">
        <v>0</v>
      </c>
      <c r="N56" s="615"/>
      <c r="O56" s="130">
        <f>Q56+S56</f>
        <v>1535.94</v>
      </c>
      <c r="P56" s="54">
        <v>0</v>
      </c>
      <c r="Q56" s="616">
        <v>0</v>
      </c>
      <c r="R56" s="617"/>
      <c r="S56" s="131">
        <v>1535.94</v>
      </c>
    </row>
    <row r="57" spans="1:40" ht="58.5" customHeight="1">
      <c r="A57" s="16" t="s">
        <v>87</v>
      </c>
      <c r="B57" s="135" t="s">
        <v>80</v>
      </c>
      <c r="C57" s="142">
        <v>775</v>
      </c>
      <c r="D57" s="115"/>
      <c r="E57" s="142"/>
      <c r="F57" s="606" t="s">
        <v>8</v>
      </c>
      <c r="G57" s="607"/>
      <c r="H57" s="115" t="s">
        <v>12</v>
      </c>
      <c r="I57" s="75"/>
      <c r="J57" s="75"/>
      <c r="K57" s="75"/>
      <c r="L57" s="75"/>
      <c r="M57" s="75"/>
      <c r="N57" s="77">
        <v>0</v>
      </c>
      <c r="O57" s="77">
        <v>110000</v>
      </c>
      <c r="P57" s="77">
        <v>0</v>
      </c>
      <c r="Q57" s="620">
        <v>0</v>
      </c>
      <c r="R57" s="621"/>
      <c r="S57" s="77">
        <v>12000</v>
      </c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1:40" ht="34.5" customHeight="1">
      <c r="A58" s="30"/>
      <c r="B58" s="141" t="s">
        <v>31</v>
      </c>
      <c r="C58" s="26">
        <f>SUM(C47:C57)</f>
        <v>9213</v>
      </c>
      <c r="D58" s="27"/>
      <c r="E58" s="26">
        <f>SUM(D53:E57)</f>
        <v>3307</v>
      </c>
      <c r="F58" s="27"/>
      <c r="G58" s="27"/>
      <c r="H58" s="27"/>
      <c r="I58" s="27"/>
      <c r="J58" s="27"/>
      <c r="K58" s="27"/>
      <c r="L58" s="27"/>
      <c r="M58" s="27"/>
      <c r="N58" s="28">
        <f>SUM(N47:N57)</f>
        <v>0</v>
      </c>
      <c r="O58" s="28">
        <f>SUM(O47:O57)</f>
        <v>324535.94</v>
      </c>
      <c r="P58" s="28">
        <f>SUM(P47:P57)</f>
        <v>0</v>
      </c>
      <c r="Q58" s="669">
        <f>SUM(Q47:R57)</f>
        <v>0</v>
      </c>
      <c r="R58" s="674"/>
      <c r="S58" s="28">
        <f>SUM(S47:S57)</f>
        <v>118535.94</v>
      </c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1:40" ht="57" customHeight="1">
      <c r="A59" s="655" t="s">
        <v>29</v>
      </c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656"/>
      <c r="M59" s="656"/>
      <c r="N59" s="656"/>
      <c r="O59" s="656"/>
      <c r="P59" s="656"/>
      <c r="Q59" s="656"/>
      <c r="R59" s="656"/>
      <c r="S59" s="657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1:40" ht="51" customHeight="1">
      <c r="A60" s="8"/>
      <c r="B60" s="50" t="s">
        <v>49</v>
      </c>
      <c r="C60" s="675"/>
      <c r="D60" s="676"/>
      <c r="E60" s="46"/>
      <c r="F60" s="675"/>
      <c r="G60" s="676"/>
      <c r="H60" s="8"/>
      <c r="I60" s="675"/>
      <c r="J60" s="676"/>
      <c r="K60" s="8"/>
      <c r="L60" s="675"/>
      <c r="M60" s="676"/>
      <c r="N60" s="8"/>
      <c r="O60" s="8"/>
      <c r="P60" s="8"/>
      <c r="Q60" s="675"/>
      <c r="R60" s="676"/>
      <c r="S60" s="51">
        <f>I33-L33</f>
        <v>110407.87</v>
      </c>
      <c r="T60" s="48"/>
      <c r="U60" s="49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1:40" ht="45" customHeight="1">
      <c r="A61" s="118"/>
      <c r="B61" s="61" t="s">
        <v>81</v>
      </c>
      <c r="C61" s="677"/>
      <c r="D61" s="678"/>
      <c r="E61" s="119"/>
      <c r="F61" s="677"/>
      <c r="G61" s="678"/>
      <c r="H61" s="118"/>
      <c r="I61" s="627">
        <f>I33+I40</f>
        <v>1132919</v>
      </c>
      <c r="J61" s="628"/>
      <c r="K61" s="109"/>
      <c r="L61" s="679">
        <f>L33+L40</f>
        <v>1022511.1299999999</v>
      </c>
      <c r="M61" s="680"/>
      <c r="N61" s="52">
        <f>M33+M40</f>
        <v>178625.93</v>
      </c>
      <c r="O61" s="52">
        <f>P61+Q61+S61</f>
        <v>788052.05</v>
      </c>
      <c r="P61" s="52">
        <v>0</v>
      </c>
      <c r="Q61" s="679">
        <f>Q33</f>
        <v>400000.25</v>
      </c>
      <c r="R61" s="607"/>
      <c r="S61" s="24">
        <v>388051.8</v>
      </c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1:21" ht="42" customHeight="1">
      <c r="A62" s="118"/>
      <c r="B62" s="61" t="s">
        <v>46</v>
      </c>
      <c r="C62" s="120"/>
      <c r="D62" s="121"/>
      <c r="E62" s="119"/>
      <c r="F62" s="120"/>
      <c r="G62" s="121"/>
      <c r="H62" s="118"/>
      <c r="I62" s="122"/>
      <c r="J62" s="123"/>
      <c r="K62" s="124"/>
      <c r="L62" s="125"/>
      <c r="M62" s="126"/>
      <c r="N62" s="127"/>
      <c r="O62" s="128"/>
      <c r="P62" s="129"/>
      <c r="Q62" s="671"/>
      <c r="R62" s="672"/>
      <c r="S62" s="52">
        <v>258297.66</v>
      </c>
      <c r="U62" s="25"/>
    </row>
    <row r="63" spans="1:21" ht="4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/>
      <c r="T63" s="48"/>
      <c r="U63" s="48"/>
    </row>
    <row r="65" spans="16:19" ht="25.5">
      <c r="P65" s="25"/>
      <c r="Q65" s="25"/>
      <c r="S65" s="23"/>
    </row>
  </sheetData>
  <mergeCells count="156">
    <mergeCell ref="F60:G60"/>
    <mergeCell ref="I60:J60"/>
    <mergeCell ref="L60:M60"/>
    <mergeCell ref="Q60:R60"/>
    <mergeCell ref="C61:D61"/>
    <mergeCell ref="F61:G61"/>
    <mergeCell ref="I61:J61"/>
    <mergeCell ref="L61:M61"/>
    <mergeCell ref="Q61:R61"/>
    <mergeCell ref="Q62:R62"/>
    <mergeCell ref="A59:S59"/>
    <mergeCell ref="F52:G52"/>
    <mergeCell ref="I52:J52"/>
    <mergeCell ref="L52:M52"/>
    <mergeCell ref="Q52:R52"/>
    <mergeCell ref="F50:G50"/>
    <mergeCell ref="I50:J50"/>
    <mergeCell ref="L50:M50"/>
    <mergeCell ref="Q50:R50"/>
    <mergeCell ref="F51:G51"/>
    <mergeCell ref="I51:J51"/>
    <mergeCell ref="L51:M51"/>
    <mergeCell ref="Q51:R51"/>
    <mergeCell ref="Q53:R53"/>
    <mergeCell ref="Q54:R54"/>
    <mergeCell ref="Q55:R55"/>
    <mergeCell ref="Q57:R57"/>
    <mergeCell ref="Q58:R58"/>
    <mergeCell ref="F53:G53"/>
    <mergeCell ref="F54:G54"/>
    <mergeCell ref="F55:G55"/>
    <mergeCell ref="F57:G57"/>
    <mergeCell ref="C60:D60"/>
    <mergeCell ref="F48:G48"/>
    <mergeCell ref="I48:J48"/>
    <mergeCell ref="L48:M48"/>
    <mergeCell ref="Q48:R48"/>
    <mergeCell ref="F49:G49"/>
    <mergeCell ref="I49:J49"/>
    <mergeCell ref="L49:M49"/>
    <mergeCell ref="Q49:R49"/>
    <mergeCell ref="I40:J40"/>
    <mergeCell ref="M40:N40"/>
    <mergeCell ref="Q40:R40"/>
    <mergeCell ref="A42:S42"/>
    <mergeCell ref="A46:S46"/>
    <mergeCell ref="F47:G47"/>
    <mergeCell ref="I47:J47"/>
    <mergeCell ref="L47:M47"/>
    <mergeCell ref="Q47:R47"/>
    <mergeCell ref="I38:J38"/>
    <mergeCell ref="M38:N38"/>
    <mergeCell ref="Q38:R38"/>
    <mergeCell ref="D39:E39"/>
    <mergeCell ref="G39:H39"/>
    <mergeCell ref="I39:J39"/>
    <mergeCell ref="M39:N39"/>
    <mergeCell ref="Q39:R39"/>
    <mergeCell ref="I37:J37"/>
    <mergeCell ref="Q37:R37"/>
    <mergeCell ref="Q28:R28"/>
    <mergeCell ref="A36:S36"/>
    <mergeCell ref="D23:E23"/>
    <mergeCell ref="G23:H23"/>
    <mergeCell ref="I23:J23"/>
    <mergeCell ref="M23:N23"/>
    <mergeCell ref="Q23:R23"/>
    <mergeCell ref="A33:B33"/>
    <mergeCell ref="I33:J33"/>
    <mergeCell ref="M33:N33"/>
    <mergeCell ref="Q33:R33"/>
    <mergeCell ref="Q35:R35"/>
    <mergeCell ref="X17:Y17"/>
    <mergeCell ref="AA17:AB17"/>
    <mergeCell ref="D16:E16"/>
    <mergeCell ref="I16:J16"/>
    <mergeCell ref="M16:N16"/>
    <mergeCell ref="Q16:R16"/>
    <mergeCell ref="D17:E17"/>
    <mergeCell ref="G17:H17"/>
    <mergeCell ref="I17:J17"/>
    <mergeCell ref="M17:N17"/>
    <mergeCell ref="Q17:R17"/>
    <mergeCell ref="D14:E14"/>
    <mergeCell ref="G14:H14"/>
    <mergeCell ref="I14:J14"/>
    <mergeCell ref="M14:N14"/>
    <mergeCell ref="Q14:R14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C7:P7"/>
    <mergeCell ref="A9:A13"/>
    <mergeCell ref="B9:B13"/>
    <mergeCell ref="C9:C13"/>
    <mergeCell ref="D9:E13"/>
    <mergeCell ref="F9:H10"/>
    <mergeCell ref="I9:L9"/>
    <mergeCell ref="M9:N13"/>
    <mergeCell ref="O9:S9"/>
    <mergeCell ref="I10:L10"/>
    <mergeCell ref="M18:N18"/>
    <mergeCell ref="I18:J18"/>
    <mergeCell ref="G18:H18"/>
    <mergeCell ref="D18:E18"/>
    <mergeCell ref="Q24:R24"/>
    <mergeCell ref="Q32:R32"/>
    <mergeCell ref="I24:J24"/>
    <mergeCell ref="M24:N24"/>
    <mergeCell ref="D19:E19"/>
    <mergeCell ref="G19:H19"/>
    <mergeCell ref="I19:J19"/>
    <mergeCell ref="M19:N19"/>
    <mergeCell ref="Q19:R19"/>
    <mergeCell ref="D20:E20"/>
    <mergeCell ref="G20:H20"/>
    <mergeCell ref="I20:J20"/>
    <mergeCell ref="M20:N20"/>
    <mergeCell ref="Q20:R20"/>
    <mergeCell ref="D21:E21"/>
    <mergeCell ref="G21:H21"/>
    <mergeCell ref="I21:J21"/>
    <mergeCell ref="M21:N21"/>
    <mergeCell ref="Q26:R26"/>
    <mergeCell ref="Q27:R27"/>
    <mergeCell ref="T25:U25"/>
    <mergeCell ref="A15:S15"/>
    <mergeCell ref="C37:D37"/>
    <mergeCell ref="F37:G37"/>
    <mergeCell ref="L37:M37"/>
    <mergeCell ref="D56:E56"/>
    <mergeCell ref="G56:H56"/>
    <mergeCell ref="I56:J56"/>
    <mergeCell ref="M56:N56"/>
    <mergeCell ref="Q56:R56"/>
    <mergeCell ref="Q21:R21"/>
    <mergeCell ref="U17:V17"/>
    <mergeCell ref="D22:E22"/>
    <mergeCell ref="G22:H22"/>
    <mergeCell ref="I22:J22"/>
    <mergeCell ref="M22:N22"/>
    <mergeCell ref="Q22:R22"/>
    <mergeCell ref="C34:D34"/>
    <mergeCell ref="F34:G34"/>
    <mergeCell ref="I34:J34"/>
    <mergeCell ref="L34:M34"/>
    <mergeCell ref="Q34:R34"/>
    <mergeCell ref="Q25:R25"/>
    <mergeCell ref="Q18:R18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8"/>
  <sheetViews>
    <sheetView zoomScale="69" zoomScaleNormal="69" workbookViewId="0" topLeftCell="A20">
      <selection activeCell="I25" sqref="I25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1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47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6.57421875" style="10" customWidth="1"/>
    <col min="19" max="19" width="25.28125" style="10" customWidth="1"/>
    <col min="20" max="20" width="18.8515625" style="15" customWidth="1"/>
    <col min="21" max="21" width="33.140625" style="15" customWidth="1"/>
    <col min="22" max="22" width="20.28125" style="15" customWidth="1"/>
    <col min="23" max="60" width="9.140625" style="15" customWidth="1"/>
    <col min="61" max="16384" width="9.140625" style="10" customWidth="1"/>
  </cols>
  <sheetData>
    <row r="1" spans="1:256" ht="18.75">
      <c r="A1" s="2"/>
      <c r="B1" s="189" t="s">
        <v>0</v>
      </c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293"/>
      <c r="O1" s="191"/>
      <c r="P1" s="190" t="s">
        <v>33</v>
      </c>
      <c r="Q1" s="190"/>
      <c r="R1" s="2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ht="18.75">
      <c r="A2" s="2"/>
      <c r="B2" s="189" t="s">
        <v>42</v>
      </c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294"/>
      <c r="O2" s="190"/>
      <c r="P2" s="190" t="s">
        <v>34</v>
      </c>
      <c r="Q2" s="189"/>
      <c r="R2" s="1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ht="18.75">
      <c r="A3" s="2"/>
      <c r="B3" s="189" t="s">
        <v>5</v>
      </c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294"/>
      <c r="O3" s="190"/>
      <c r="P3" s="190"/>
      <c r="Q3" s="189"/>
      <c r="R3" s="1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ht="18.75">
      <c r="A4" s="2"/>
      <c r="B4" s="189" t="s">
        <v>43</v>
      </c>
      <c r="C4" s="189"/>
      <c r="D4" s="189"/>
      <c r="E4" s="189"/>
      <c r="F4" s="189" t="s">
        <v>6</v>
      </c>
      <c r="G4" s="189"/>
      <c r="H4" s="189"/>
      <c r="I4" s="189"/>
      <c r="J4" s="189"/>
      <c r="K4" s="189"/>
      <c r="L4" s="189"/>
      <c r="M4" s="189"/>
      <c r="N4" s="294"/>
      <c r="O4" s="190"/>
      <c r="P4" s="190" t="s">
        <v>62</v>
      </c>
      <c r="Q4" s="189"/>
      <c r="R4" s="1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ht="18.75">
      <c r="A5" s="2"/>
      <c r="B5" s="189" t="s">
        <v>60</v>
      </c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294"/>
      <c r="O5" s="190"/>
      <c r="P5" s="189" t="s">
        <v>35</v>
      </c>
      <c r="Q5" s="189"/>
      <c r="R5" s="2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7" spans="1:16" ht="18.75" customHeight="1">
      <c r="A7" s="11"/>
      <c r="C7" s="599" t="s">
        <v>59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ht="11.25" customHeight="1">
      <c r="A8" s="11"/>
    </row>
    <row r="9" spans="1:19" ht="43.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590" t="s">
        <v>18</v>
      </c>
      <c r="J9" s="713"/>
      <c r="K9" s="713"/>
      <c r="L9" s="591"/>
      <c r="M9" s="714" t="s">
        <v>65</v>
      </c>
      <c r="N9" s="715"/>
      <c r="O9" s="590" t="s">
        <v>68</v>
      </c>
      <c r="P9" s="713"/>
      <c r="Q9" s="713"/>
      <c r="R9" s="713"/>
      <c r="S9" s="591"/>
    </row>
    <row r="10" spans="1:19" ht="18.75" customHeight="1">
      <c r="A10" s="633"/>
      <c r="B10" s="716"/>
      <c r="C10" s="721"/>
      <c r="D10" s="716"/>
      <c r="E10" s="717"/>
      <c r="F10" s="718"/>
      <c r="G10" s="724"/>
      <c r="H10" s="719"/>
      <c r="I10" s="590" t="s">
        <v>77</v>
      </c>
      <c r="J10" s="713"/>
      <c r="K10" s="713"/>
      <c r="L10" s="591"/>
      <c r="M10" s="716"/>
      <c r="N10" s="717"/>
      <c r="O10" s="710" t="s">
        <v>19</v>
      </c>
      <c r="P10" s="713"/>
      <c r="Q10" s="713"/>
      <c r="R10" s="713"/>
      <c r="S10" s="591"/>
    </row>
    <row r="11" spans="1:19" ht="18.75" customHeight="1">
      <c r="A11" s="633"/>
      <c r="B11" s="716"/>
      <c r="C11" s="721"/>
      <c r="D11" s="716"/>
      <c r="E11" s="717"/>
      <c r="F11" s="225" t="s">
        <v>20</v>
      </c>
      <c r="G11" s="590" t="s">
        <v>21</v>
      </c>
      <c r="H11" s="591"/>
      <c r="I11" s="714" t="s">
        <v>22</v>
      </c>
      <c r="J11" s="715"/>
      <c r="K11" s="248"/>
      <c r="L11" s="720" t="s">
        <v>23</v>
      </c>
      <c r="M11" s="716"/>
      <c r="N11" s="717"/>
      <c r="O11" s="711"/>
      <c r="P11" s="715" t="s">
        <v>66</v>
      </c>
      <c r="Q11" s="714" t="s">
        <v>67</v>
      </c>
      <c r="R11" s="723"/>
      <c r="S11" s="715"/>
    </row>
    <row r="12" spans="1:19" ht="18.75" customHeight="1">
      <c r="A12" s="633"/>
      <c r="B12" s="716"/>
      <c r="C12" s="721"/>
      <c r="D12" s="716"/>
      <c r="E12" s="717"/>
      <c r="F12" s="225" t="s">
        <v>69</v>
      </c>
      <c r="G12" s="590" t="s">
        <v>69</v>
      </c>
      <c r="H12" s="591"/>
      <c r="I12" s="716"/>
      <c r="J12" s="717"/>
      <c r="K12" s="248"/>
      <c r="L12" s="721"/>
      <c r="M12" s="716"/>
      <c r="N12" s="717"/>
      <c r="O12" s="711"/>
      <c r="P12" s="717"/>
      <c r="Q12" s="718"/>
      <c r="R12" s="724"/>
      <c r="S12" s="719"/>
    </row>
    <row r="13" spans="1:19" ht="95.25" customHeight="1">
      <c r="A13" s="634"/>
      <c r="B13" s="718"/>
      <c r="C13" s="722"/>
      <c r="D13" s="718"/>
      <c r="E13" s="719"/>
      <c r="F13" s="225" t="s">
        <v>63</v>
      </c>
      <c r="G13" s="590" t="s">
        <v>64</v>
      </c>
      <c r="H13" s="591"/>
      <c r="I13" s="718"/>
      <c r="J13" s="719"/>
      <c r="K13" s="248"/>
      <c r="L13" s="722"/>
      <c r="M13" s="718"/>
      <c r="N13" s="719"/>
      <c r="O13" s="712"/>
      <c r="P13" s="719"/>
      <c r="Q13" s="590" t="s">
        <v>24</v>
      </c>
      <c r="R13" s="591"/>
      <c r="S13" s="225" t="s">
        <v>25</v>
      </c>
    </row>
    <row r="14" spans="1:19" ht="18.75">
      <c r="A14" s="13">
        <v>1</v>
      </c>
      <c r="B14" s="236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708">
        <v>7</v>
      </c>
      <c r="J14" s="709"/>
      <c r="K14" s="158"/>
      <c r="L14" s="158">
        <v>8</v>
      </c>
      <c r="M14" s="708">
        <v>9</v>
      </c>
      <c r="N14" s="709"/>
      <c r="O14" s="192">
        <v>10</v>
      </c>
      <c r="P14" s="237">
        <v>11</v>
      </c>
      <c r="Q14" s="708">
        <v>12</v>
      </c>
      <c r="R14" s="709"/>
      <c r="S14" s="236">
        <v>13</v>
      </c>
    </row>
    <row r="15" spans="1:19" ht="36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6"/>
    </row>
    <row r="16" spans="1:19" ht="65.25" customHeight="1">
      <c r="A16" s="16">
        <v>1</v>
      </c>
      <c r="B16" s="235" t="s">
        <v>48</v>
      </c>
      <c r="C16" s="18">
        <v>567</v>
      </c>
      <c r="D16" s="618">
        <v>567</v>
      </c>
      <c r="E16" s="619"/>
      <c r="F16" s="226" t="s">
        <v>76</v>
      </c>
      <c r="G16" s="226"/>
      <c r="H16" s="226" t="s">
        <v>75</v>
      </c>
      <c r="I16" s="612">
        <v>71245.2</v>
      </c>
      <c r="J16" s="613"/>
      <c r="K16" s="93">
        <v>0.9</v>
      </c>
      <c r="L16" s="3">
        <v>64800</v>
      </c>
      <c r="M16" s="627">
        <v>64742.8</v>
      </c>
      <c r="N16" s="628"/>
      <c r="O16" s="42">
        <f>Q16+S16</f>
        <v>6502.4</v>
      </c>
      <c r="P16" s="218">
        <f>0</f>
        <v>0</v>
      </c>
      <c r="Q16" s="620">
        <f>0</f>
        <v>0</v>
      </c>
      <c r="R16" s="621"/>
      <c r="S16" s="3">
        <v>6502.4</v>
      </c>
    </row>
    <row r="17" spans="1:19" ht="66.75" customHeight="1">
      <c r="A17" s="16">
        <v>2</v>
      </c>
      <c r="B17" s="22" t="s">
        <v>44</v>
      </c>
      <c r="C17" s="18">
        <v>377</v>
      </c>
      <c r="D17" s="618">
        <v>377</v>
      </c>
      <c r="E17" s="619"/>
      <c r="F17" s="226" t="s">
        <v>76</v>
      </c>
      <c r="G17" s="606" t="s">
        <v>11</v>
      </c>
      <c r="H17" s="607"/>
      <c r="I17" s="612">
        <v>106395</v>
      </c>
      <c r="J17" s="613"/>
      <c r="K17" s="94">
        <v>0.9</v>
      </c>
      <c r="L17" s="249">
        <f>I17-(I17*0.9%)</f>
        <v>105437.445</v>
      </c>
      <c r="M17" s="620">
        <v>3484.21</v>
      </c>
      <c r="N17" s="621"/>
      <c r="O17" s="52">
        <f>Q17+S17</f>
        <v>92679.51</v>
      </c>
      <c r="P17" s="218">
        <f>0</f>
        <v>0</v>
      </c>
      <c r="Q17" s="612">
        <f>72000</f>
        <v>72000</v>
      </c>
      <c r="R17" s="613"/>
      <c r="S17" s="3">
        <f>20679.51</f>
        <v>20679.51</v>
      </c>
    </row>
    <row r="18" spans="1:19" ht="44.25" customHeight="1">
      <c r="A18" s="16">
        <v>3</v>
      </c>
      <c r="B18" s="235" t="s">
        <v>30</v>
      </c>
      <c r="C18" s="18">
        <v>502</v>
      </c>
      <c r="D18" s="618">
        <v>502</v>
      </c>
      <c r="E18" s="619"/>
      <c r="F18" s="226" t="s">
        <v>76</v>
      </c>
      <c r="G18" s="606" t="s">
        <v>11</v>
      </c>
      <c r="H18" s="607"/>
      <c r="I18" s="612">
        <v>110501.12</v>
      </c>
      <c r="J18" s="613"/>
      <c r="K18" s="94">
        <v>0.9</v>
      </c>
      <c r="L18" s="249">
        <f>I18-(I18*0.9%)</f>
        <v>109506.60991999999</v>
      </c>
      <c r="M18" s="620">
        <f>5555.65+15059.6</f>
        <v>20615.25</v>
      </c>
      <c r="N18" s="621"/>
      <c r="O18" s="42">
        <f>Q18+S18</f>
        <v>72335</v>
      </c>
      <c r="P18" s="218">
        <f>0</f>
        <v>0</v>
      </c>
      <c r="Q18" s="612">
        <v>43335</v>
      </c>
      <c r="R18" s="613"/>
      <c r="S18" s="3">
        <v>29000</v>
      </c>
    </row>
    <row r="19" spans="1:19" ht="54" customHeight="1">
      <c r="A19" s="16">
        <v>4</v>
      </c>
      <c r="B19" s="22" t="s">
        <v>37</v>
      </c>
      <c r="C19" s="18">
        <v>1064</v>
      </c>
      <c r="D19" s="618">
        <v>1064</v>
      </c>
      <c r="E19" s="619"/>
      <c r="F19" s="226" t="s">
        <v>76</v>
      </c>
      <c r="G19" s="606" t="s">
        <v>12</v>
      </c>
      <c r="H19" s="607"/>
      <c r="I19" s="612">
        <v>99278</v>
      </c>
      <c r="J19" s="613"/>
      <c r="K19" s="94">
        <v>0.9</v>
      </c>
      <c r="L19" s="249">
        <f>I19-(I19*0.9%)</f>
        <v>98384.498</v>
      </c>
      <c r="M19" s="620">
        <v>19541</v>
      </c>
      <c r="N19" s="621"/>
      <c r="O19" s="52">
        <f>Q19+S19</f>
        <v>51137.880000000005</v>
      </c>
      <c r="P19" s="218">
        <f>0</f>
        <v>0</v>
      </c>
      <c r="Q19" s="612">
        <v>40298.87</v>
      </c>
      <c r="R19" s="613"/>
      <c r="S19" s="3">
        <f>(3000+39850.2)-14839.89-19541+2369.7</f>
        <v>10839.009999999998</v>
      </c>
    </row>
    <row r="20" spans="1:20" ht="39" customHeight="1">
      <c r="A20" s="82">
        <v>5</v>
      </c>
      <c r="B20" s="300" t="s">
        <v>38</v>
      </c>
      <c r="C20" s="301">
        <v>1329</v>
      </c>
      <c r="D20" s="702">
        <v>1329</v>
      </c>
      <c r="E20" s="703"/>
      <c r="F20" s="27" t="s">
        <v>76</v>
      </c>
      <c r="G20" s="704" t="s">
        <v>11</v>
      </c>
      <c r="H20" s="705"/>
      <c r="I20" s="662">
        <v>167041.6</v>
      </c>
      <c r="J20" s="663"/>
      <c r="K20" s="302">
        <v>0.9</v>
      </c>
      <c r="L20" s="28">
        <v>150337.44</v>
      </c>
      <c r="M20" s="706">
        <f>46.05+7000+143.54+167.29+125+7500</f>
        <v>14981.880000000001</v>
      </c>
      <c r="N20" s="707"/>
      <c r="O20" s="28">
        <f>Q20+S20</f>
        <v>103000</v>
      </c>
      <c r="P20" s="267">
        <f>0</f>
        <v>0</v>
      </c>
      <c r="Q20" s="662">
        <f>72163-15000</f>
        <v>57163</v>
      </c>
      <c r="R20" s="663"/>
      <c r="S20" s="29">
        <v>45837</v>
      </c>
      <c r="T20" s="251"/>
    </row>
    <row r="21" spans="1:61" s="89" customFormat="1" ht="60" customHeight="1">
      <c r="A21" s="16">
        <v>6</v>
      </c>
      <c r="B21" s="250" t="s">
        <v>56</v>
      </c>
      <c r="C21" s="18">
        <v>549</v>
      </c>
      <c r="D21" s="248"/>
      <c r="E21" s="18">
        <f>C21</f>
        <v>549</v>
      </c>
      <c r="F21" s="248" t="s">
        <v>76</v>
      </c>
      <c r="G21" s="248"/>
      <c r="H21" s="248" t="s">
        <v>11</v>
      </c>
      <c r="I21" s="612">
        <v>104103</v>
      </c>
      <c r="J21" s="613"/>
      <c r="K21" s="93">
        <v>0.9</v>
      </c>
      <c r="L21" s="249">
        <f>I21-(I21*0.9%)</f>
        <v>103166.073</v>
      </c>
      <c r="M21" s="612">
        <f>40350.59+14910.2</f>
        <v>55260.78999999999</v>
      </c>
      <c r="N21" s="613"/>
      <c r="O21" s="3">
        <f>P21+Q21+S21</f>
        <v>35000</v>
      </c>
      <c r="P21" s="245">
        <f>0</f>
        <v>0</v>
      </c>
      <c r="Q21" s="612">
        <f>0</f>
        <v>0</v>
      </c>
      <c r="R21" s="613"/>
      <c r="S21" s="3">
        <v>35000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48"/>
    </row>
    <row r="22" spans="1:19" s="15" customFormat="1" ht="40.5" customHeight="1">
      <c r="A22" s="4">
        <v>7</v>
      </c>
      <c r="B22" s="6" t="s">
        <v>10</v>
      </c>
      <c r="C22" s="187">
        <v>1717</v>
      </c>
      <c r="D22" s="188"/>
      <c r="E22" s="187">
        <f>C22</f>
        <v>1717</v>
      </c>
      <c r="F22" s="188" t="s">
        <v>11</v>
      </c>
      <c r="G22" s="188"/>
      <c r="H22" s="188" t="s">
        <v>7</v>
      </c>
      <c r="I22" s="281">
        <v>116353</v>
      </c>
      <c r="J22" s="282">
        <f>SUM(I22)</f>
        <v>116353</v>
      </c>
      <c r="K22" s="240">
        <v>0.9</v>
      </c>
      <c r="L22" s="24">
        <f>I22-(I22*0.9%)</f>
        <v>115305.823</v>
      </c>
      <c r="M22" s="291"/>
      <c r="N22" s="282">
        <v>0</v>
      </c>
      <c r="O22" s="39">
        <f>Q22+S22</f>
        <v>106215.82</v>
      </c>
      <c r="P22" s="272">
        <f>0</f>
        <v>0</v>
      </c>
      <c r="Q22" s="683">
        <f>37800+10349.82-19000</f>
        <v>29149.82</v>
      </c>
      <c r="R22" s="684"/>
      <c r="S22" s="39">
        <f>87066-10000</f>
        <v>77066</v>
      </c>
    </row>
    <row r="23" spans="1:19" s="15" customFormat="1" ht="38.25" customHeight="1">
      <c r="A23" s="16">
        <v>8</v>
      </c>
      <c r="B23" s="6" t="s">
        <v>79</v>
      </c>
      <c r="C23" s="187">
        <v>711.8</v>
      </c>
      <c r="D23" s="188"/>
      <c r="E23" s="187">
        <f>C23</f>
        <v>711.8</v>
      </c>
      <c r="F23" s="188" t="s">
        <v>12</v>
      </c>
      <c r="G23" s="188" t="s">
        <v>9</v>
      </c>
      <c r="H23" s="188" t="s">
        <v>9</v>
      </c>
      <c r="I23" s="281">
        <v>103300</v>
      </c>
      <c r="J23" s="282">
        <f>SUM(I23)</f>
        <v>103300</v>
      </c>
      <c r="K23" s="241">
        <v>0.9</v>
      </c>
      <c r="L23" s="24">
        <f>I23-(I23*0.9%)</f>
        <v>102370.3</v>
      </c>
      <c r="M23" s="291"/>
      <c r="N23" s="282">
        <v>0</v>
      </c>
      <c r="O23" s="39">
        <f>Q23+S23</f>
        <v>86077.3</v>
      </c>
      <c r="P23" s="272">
        <f>0</f>
        <v>0</v>
      </c>
      <c r="Q23" s="683">
        <f>23000+19000+15536.08-20000-6203</f>
        <v>31333.08</v>
      </c>
      <c r="R23" s="684"/>
      <c r="S23" s="39">
        <f>80000-3255.78-22000</f>
        <v>54744.22</v>
      </c>
    </row>
    <row r="24" spans="1:19" s="15" customFormat="1" ht="55.5" customHeight="1">
      <c r="A24" s="16">
        <v>9</v>
      </c>
      <c r="B24" s="292" t="s">
        <v>82</v>
      </c>
      <c r="C24" s="187">
        <v>610</v>
      </c>
      <c r="D24" s="188"/>
      <c r="E24" s="187">
        <f>C24</f>
        <v>610</v>
      </c>
      <c r="F24" s="188" t="s">
        <v>12</v>
      </c>
      <c r="G24" s="188" t="s">
        <v>9</v>
      </c>
      <c r="H24" s="188" t="s">
        <v>9</v>
      </c>
      <c r="I24" s="281">
        <v>82000</v>
      </c>
      <c r="J24" s="282">
        <f>SUM(I24)</f>
        <v>82000</v>
      </c>
      <c r="K24" s="241">
        <v>0.9</v>
      </c>
      <c r="L24" s="24">
        <f>I24-(I24*0.9%)</f>
        <v>81262</v>
      </c>
      <c r="M24" s="291"/>
      <c r="N24" s="282">
        <v>0</v>
      </c>
      <c r="O24" s="39">
        <f>Q24+S24</f>
        <v>75059</v>
      </c>
      <c r="P24" s="272">
        <f>0</f>
        <v>0</v>
      </c>
      <c r="Q24" s="683">
        <f>19000+10000+2609.49-20000+23978.71-8126.2-6203</f>
        <v>21258.999999999996</v>
      </c>
      <c r="R24" s="684"/>
      <c r="S24" s="39">
        <f>75000-12000-9200</f>
        <v>53800</v>
      </c>
    </row>
    <row r="25" spans="1:19" s="15" customFormat="1" ht="53.25" customHeight="1">
      <c r="A25" s="16">
        <v>10</v>
      </c>
      <c r="B25" s="6" t="s">
        <v>58</v>
      </c>
      <c r="C25" s="187">
        <v>601</v>
      </c>
      <c r="D25" s="188"/>
      <c r="E25" s="187">
        <f>C25</f>
        <v>601</v>
      </c>
      <c r="F25" s="188" t="s">
        <v>8</v>
      </c>
      <c r="G25" s="188"/>
      <c r="H25" s="188" t="s">
        <v>13</v>
      </c>
      <c r="I25" s="291">
        <v>118580</v>
      </c>
      <c r="J25" s="282">
        <f>SUM(I25)</f>
        <v>118580</v>
      </c>
      <c r="K25" s="241">
        <v>0.9</v>
      </c>
      <c r="L25" s="28">
        <f>I25-(I25*0.9%)</f>
        <v>117512.78</v>
      </c>
      <c r="M25" s="299"/>
      <c r="N25" s="268">
        <v>0</v>
      </c>
      <c r="O25" s="29">
        <f>Q25+S25</f>
        <v>73435.4</v>
      </c>
      <c r="P25" s="272">
        <f>0</f>
        <v>0</v>
      </c>
      <c r="Q25" s="683">
        <f>22000+38000-944.77-27000-6203-0.49</f>
        <v>25851.74</v>
      </c>
      <c r="R25" s="684"/>
      <c r="S25" s="39">
        <f>47005-578.66+1157.32</f>
        <v>47583.659999999996</v>
      </c>
    </row>
    <row r="26" spans="1:21" ht="42" customHeight="1">
      <c r="A26" s="689"/>
      <c r="B26" s="690"/>
      <c r="C26" s="175">
        <f>SUM(C16:C25)</f>
        <v>8027.8</v>
      </c>
      <c r="D26" s="175">
        <f>SUM(D16:D25)</f>
        <v>3839</v>
      </c>
      <c r="E26" s="175">
        <v>8027.8</v>
      </c>
      <c r="F26" s="176"/>
      <c r="G26" s="176"/>
      <c r="H26" s="176"/>
      <c r="I26" s="683">
        <f>SUM(I16:I25)</f>
        <v>1078796.92</v>
      </c>
      <c r="J26" s="684"/>
      <c r="K26" s="177"/>
      <c r="L26" s="178">
        <f>SUM(L16:L25)</f>
        <v>1048082.9689200001</v>
      </c>
      <c r="M26" s="698">
        <f>SUM(M16:M25)</f>
        <v>178625.93</v>
      </c>
      <c r="N26" s="699"/>
      <c r="O26" s="178">
        <f>SUM(O16:O25)</f>
        <v>701442.31</v>
      </c>
      <c r="P26" s="178">
        <v>0</v>
      </c>
      <c r="Q26" s="700">
        <f>SUM(Q16:R25)</f>
        <v>320390.51</v>
      </c>
      <c r="R26" s="701"/>
      <c r="S26" s="39">
        <f>SUM(S16:S25)</f>
        <v>381051.8</v>
      </c>
      <c r="T26" s="252"/>
      <c r="U26" s="154">
        <f>Q26-400000</f>
        <v>-79609.48999999999</v>
      </c>
    </row>
    <row r="27" spans="1:19" ht="51.75" customHeight="1" hidden="1">
      <c r="A27" s="16"/>
      <c r="B27" s="57" t="s">
        <v>46</v>
      </c>
      <c r="C27" s="694"/>
      <c r="D27" s="695"/>
      <c r="E27" s="155"/>
      <c r="F27" s="694"/>
      <c r="G27" s="695"/>
      <c r="H27" s="16"/>
      <c r="I27" s="694"/>
      <c r="J27" s="695"/>
      <c r="K27" s="16"/>
      <c r="L27" s="694"/>
      <c r="M27" s="695"/>
      <c r="N27" s="4"/>
      <c r="O27" s="156"/>
      <c r="P27" s="13"/>
      <c r="Q27" s="696"/>
      <c r="R27" s="695"/>
      <c r="S27" s="227"/>
    </row>
    <row r="28" spans="1:20" ht="26.25" customHeight="1">
      <c r="A28" s="16"/>
      <c r="B28" s="56" t="s">
        <v>84</v>
      </c>
      <c r="C28" s="16"/>
      <c r="D28" s="16"/>
      <c r="E28" s="155"/>
      <c r="F28" s="16"/>
      <c r="G28" s="16"/>
      <c r="H28" s="16"/>
      <c r="I28" s="16"/>
      <c r="J28" s="16"/>
      <c r="K28" s="16"/>
      <c r="L28" s="16"/>
      <c r="M28" s="16"/>
      <c r="N28" s="4"/>
      <c r="O28" s="156"/>
      <c r="P28" s="13"/>
      <c r="Q28" s="697"/>
      <c r="R28" s="697"/>
      <c r="S28" s="227">
        <v>258297.66</v>
      </c>
      <c r="T28" s="238"/>
    </row>
    <row r="29" spans="1:21" ht="26.25" customHeight="1">
      <c r="A29" s="16"/>
      <c r="B29" s="594" t="s">
        <v>104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  <c r="U29" s="242"/>
    </row>
    <row r="30" spans="1:19" ht="65.25" customHeight="1">
      <c r="A30" s="16">
        <v>1</v>
      </c>
      <c r="B30" s="57" t="s">
        <v>88</v>
      </c>
      <c r="C30" s="18">
        <v>717</v>
      </c>
      <c r="D30" s="222"/>
      <c r="E30" s="217"/>
      <c r="F30" s="225"/>
      <c r="G30" s="225"/>
      <c r="H30" s="225"/>
      <c r="I30" s="612">
        <v>113514</v>
      </c>
      <c r="J30" s="613"/>
      <c r="K30" s="3">
        <v>0.9</v>
      </c>
      <c r="L30" s="249">
        <f>98304+4430.04+1038.15</f>
        <v>103772.18999999999</v>
      </c>
      <c r="M30" s="620">
        <v>30355.2</v>
      </c>
      <c r="N30" s="621"/>
      <c r="O30" s="227">
        <f>Q30+S30</f>
        <v>50514.37</v>
      </c>
      <c r="P30" s="218">
        <f>0</f>
        <v>0</v>
      </c>
      <c r="Q30" s="612">
        <v>50514.37</v>
      </c>
      <c r="R30" s="613"/>
      <c r="S30" s="3">
        <v>0</v>
      </c>
    </row>
    <row r="31" spans="1:19" ht="57.75" customHeight="1">
      <c r="A31" s="16">
        <v>2</v>
      </c>
      <c r="B31" s="57" t="s">
        <v>89</v>
      </c>
      <c r="C31" s="18">
        <v>959.7</v>
      </c>
      <c r="D31" s="225"/>
      <c r="E31" s="18"/>
      <c r="F31" s="225"/>
      <c r="G31" s="225"/>
      <c r="H31" s="225"/>
      <c r="I31" s="243">
        <v>74778</v>
      </c>
      <c r="J31" s="244">
        <f>SUM(I31)</f>
        <v>74778</v>
      </c>
      <c r="K31" s="20"/>
      <c r="L31" s="3">
        <v>64634.74</v>
      </c>
      <c r="M31" s="91"/>
      <c r="N31" s="282">
        <v>28220</v>
      </c>
      <c r="O31" s="227">
        <f>Q31+S31</f>
        <v>29095.12</v>
      </c>
      <c r="P31" s="218">
        <f>0</f>
        <v>0</v>
      </c>
      <c r="Q31" s="612">
        <v>29095.12</v>
      </c>
      <c r="R31" s="613"/>
      <c r="S31" s="3">
        <v>0</v>
      </c>
    </row>
    <row r="32" spans="1:19" ht="26.25" customHeight="1">
      <c r="A32" s="689" t="s">
        <v>94</v>
      </c>
      <c r="B32" s="690"/>
      <c r="C32" s="180">
        <f>SUM(C30:C31)</f>
        <v>1676.7</v>
      </c>
      <c r="D32" s="179"/>
      <c r="E32" s="180"/>
      <c r="F32" s="179"/>
      <c r="G32" s="179"/>
      <c r="H32" s="179"/>
      <c r="I32" s="181">
        <f>SUM(I30:I31)</f>
        <v>188292</v>
      </c>
      <c r="J32" s="181">
        <f>SUM(I32)</f>
        <v>188292</v>
      </c>
      <c r="K32" s="179"/>
      <c r="L32" s="182">
        <f>SUM(L30:L31)</f>
        <v>168406.93</v>
      </c>
      <c r="M32" s="182">
        <f>SUM(M30:M31)</f>
        <v>30355.2</v>
      </c>
      <c r="N32" s="182">
        <f>SUM(N30:N31)</f>
        <v>28220</v>
      </c>
      <c r="O32" s="183">
        <f>SUM(O30:O31)</f>
        <v>79609.49</v>
      </c>
      <c r="P32" s="184">
        <f>SUM(P30:P31)</f>
        <v>0</v>
      </c>
      <c r="Q32" s="691">
        <f>Q26+Q30+Q31</f>
        <v>400000</v>
      </c>
      <c r="R32" s="692"/>
      <c r="S32" s="24">
        <f>SUM(S30:S31)</f>
        <v>0</v>
      </c>
    </row>
    <row r="33" spans="1:19" ht="26.25" customHeight="1" hidden="1">
      <c r="A33" s="235"/>
      <c r="B33" s="59"/>
      <c r="C33" s="168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295"/>
      <c r="O33" s="170"/>
      <c r="P33" s="171"/>
      <c r="Q33" s="693">
        <v>400000</v>
      </c>
      <c r="R33" s="693"/>
      <c r="S33" s="218"/>
    </row>
    <row r="34" spans="1:19" ht="26.25" customHeight="1" hidden="1">
      <c r="A34" s="235"/>
      <c r="B34" s="59"/>
      <c r="C34" s="168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295"/>
      <c r="O34" s="170"/>
      <c r="P34" s="171"/>
      <c r="Q34" s="693">
        <f>Q26+Q30+Q31</f>
        <v>400000</v>
      </c>
      <c r="R34" s="693"/>
      <c r="S34" s="218"/>
    </row>
    <row r="35" spans="1:19" ht="41.25" customHeight="1">
      <c r="A35" s="685" t="s">
        <v>27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</row>
    <row r="36" spans="1:60" s="113" customFormat="1" ht="80.25" customHeight="1">
      <c r="A36" s="16">
        <v>1</v>
      </c>
      <c r="B36" s="235" t="s">
        <v>52</v>
      </c>
      <c r="C36" s="590">
        <v>581</v>
      </c>
      <c r="D36" s="591"/>
      <c r="E36" s="18" t="s">
        <v>39</v>
      </c>
      <c r="F36" s="225" t="s">
        <v>76</v>
      </c>
      <c r="G36" s="225" t="s">
        <v>76</v>
      </c>
      <c r="H36" s="226" t="s">
        <v>7</v>
      </c>
      <c r="I36" s="590">
        <v>1973.18</v>
      </c>
      <c r="J36" s="591"/>
      <c r="K36" s="246"/>
      <c r="L36" s="590">
        <v>1973.18</v>
      </c>
      <c r="M36" s="591"/>
      <c r="N36" s="24">
        <v>0</v>
      </c>
      <c r="O36" s="227">
        <v>1973.18</v>
      </c>
      <c r="P36" s="227">
        <f>0</f>
        <v>0</v>
      </c>
      <c r="Q36" s="620">
        <f>0</f>
        <v>0</v>
      </c>
      <c r="R36" s="621"/>
      <c r="S36" s="227">
        <v>1973.18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s="113" customFormat="1" ht="78" customHeight="1">
      <c r="A37" s="16">
        <v>2</v>
      </c>
      <c r="B37" s="235" t="s">
        <v>53</v>
      </c>
      <c r="C37" s="18">
        <v>405</v>
      </c>
      <c r="D37" s="225"/>
      <c r="E37" s="225" t="s">
        <v>39</v>
      </c>
      <c r="F37" s="225" t="s">
        <v>76</v>
      </c>
      <c r="G37" s="225" t="s">
        <v>76</v>
      </c>
      <c r="H37" s="225" t="s">
        <v>7</v>
      </c>
      <c r="I37" s="612">
        <v>2028.02</v>
      </c>
      <c r="J37" s="613"/>
      <c r="K37" s="20">
        <v>0.9</v>
      </c>
      <c r="L37" s="3">
        <f>O37</f>
        <v>2028.02</v>
      </c>
      <c r="M37" s="612">
        <v>0</v>
      </c>
      <c r="N37" s="613"/>
      <c r="O37" s="3">
        <f>'[1]Подрядный способ'!$J$5</f>
        <v>2028.02</v>
      </c>
      <c r="P37" s="218">
        <f>0</f>
        <v>0</v>
      </c>
      <c r="Q37" s="620">
        <f>0</f>
        <v>0</v>
      </c>
      <c r="R37" s="621"/>
      <c r="S37" s="3">
        <f>O37</f>
        <v>2028.02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s="113" customFormat="1" ht="65.25" customHeight="1">
      <c r="A38" s="16">
        <v>3</v>
      </c>
      <c r="B38" s="235" t="s">
        <v>54</v>
      </c>
      <c r="C38" s="18">
        <v>903</v>
      </c>
      <c r="D38" s="590" t="s">
        <v>39</v>
      </c>
      <c r="E38" s="591"/>
      <c r="F38" s="225" t="s">
        <v>76</v>
      </c>
      <c r="G38" s="590" t="s">
        <v>13</v>
      </c>
      <c r="H38" s="591"/>
      <c r="I38" s="612">
        <v>2327.06</v>
      </c>
      <c r="J38" s="613"/>
      <c r="K38" s="20">
        <v>0.9</v>
      </c>
      <c r="L38" s="3">
        <f>O38</f>
        <v>2327.06</v>
      </c>
      <c r="M38" s="612">
        <v>0</v>
      </c>
      <c r="N38" s="613"/>
      <c r="O38" s="3">
        <f>'[1]Подрядный способ'!$J$6</f>
        <v>2327.06</v>
      </c>
      <c r="P38" s="218">
        <f>0</f>
        <v>0</v>
      </c>
      <c r="Q38" s="620">
        <f>0</f>
        <v>0</v>
      </c>
      <c r="R38" s="621"/>
      <c r="S38" s="3">
        <f>O38</f>
        <v>2327.06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19" ht="38.25" customHeight="1">
      <c r="A39" s="4"/>
      <c r="B39" s="185" t="s">
        <v>92</v>
      </c>
      <c r="C39" s="34"/>
      <c r="D39" s="35"/>
      <c r="E39" s="35"/>
      <c r="F39" s="35"/>
      <c r="G39" s="35"/>
      <c r="H39" s="35"/>
      <c r="I39" s="683">
        <f>SUM(I36:J38)</f>
        <v>6328.26</v>
      </c>
      <c r="J39" s="684"/>
      <c r="K39" s="38"/>
      <c r="L39" s="39">
        <f>SUM(L36:L38)</f>
        <v>6328.26</v>
      </c>
      <c r="M39" s="683">
        <f>SUM(M36:N38)</f>
        <v>0</v>
      </c>
      <c r="N39" s="684"/>
      <c r="O39" s="39">
        <f>P39+Q39+S39</f>
        <v>6328.26</v>
      </c>
      <c r="P39" s="224">
        <f>SUM(P26:P38)</f>
        <v>0</v>
      </c>
      <c r="Q39" s="653">
        <f>SUM(Q36:R38)</f>
        <v>0</v>
      </c>
      <c r="R39" s="688"/>
      <c r="S39" s="39">
        <f>SUM(S36:S38)</f>
        <v>6328.26</v>
      </c>
    </row>
    <row r="40" spans="1:19" ht="42" customHeight="1" hidden="1">
      <c r="A40" s="4"/>
      <c r="B40" s="6" t="s">
        <v>46</v>
      </c>
      <c r="C40" s="34"/>
      <c r="D40" s="35"/>
      <c r="E40" s="35"/>
      <c r="F40" s="35"/>
      <c r="G40" s="35"/>
      <c r="H40" s="35"/>
      <c r="I40" s="243"/>
      <c r="J40" s="247"/>
      <c r="K40" s="253"/>
      <c r="L40" s="3"/>
      <c r="M40" s="233"/>
      <c r="N40" s="282"/>
      <c r="O40" s="39"/>
      <c r="P40" s="224"/>
      <c r="Q40" s="223"/>
      <c r="R40" s="234"/>
      <c r="S40" s="39">
        <f>S39</f>
        <v>6328.26</v>
      </c>
    </row>
    <row r="41" spans="1:19" ht="0.75" customHeight="1" hidden="1">
      <c r="A41" s="655" t="s">
        <v>28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7"/>
    </row>
    <row r="42" spans="1:60" s="45" customFormat="1" ht="75.75" customHeight="1" hidden="1">
      <c r="A42" s="8" t="s">
        <v>41</v>
      </c>
      <c r="B42" s="220" t="s">
        <v>41</v>
      </c>
      <c r="C42" s="46" t="s">
        <v>41</v>
      </c>
      <c r="D42" s="8"/>
      <c r="E42" s="8" t="s">
        <v>41</v>
      </c>
      <c r="F42" s="8" t="s">
        <v>41</v>
      </c>
      <c r="G42" s="8"/>
      <c r="H42" s="8" t="s">
        <v>41</v>
      </c>
      <c r="I42" s="243" t="s">
        <v>41</v>
      </c>
      <c r="J42" s="247"/>
      <c r="K42" s="247"/>
      <c r="L42" s="3" t="s">
        <v>41</v>
      </c>
      <c r="M42" s="219"/>
      <c r="N42" s="282" t="s">
        <v>41</v>
      </c>
      <c r="O42" s="42" t="s">
        <v>41</v>
      </c>
      <c r="P42" s="232" t="s">
        <v>41</v>
      </c>
      <c r="Q42" s="231" t="s">
        <v>41</v>
      </c>
      <c r="R42" s="221"/>
      <c r="S42" s="219" t="s">
        <v>41</v>
      </c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s="45" customFormat="1" ht="33.7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96"/>
      <c r="O43" s="21"/>
      <c r="P43" s="21"/>
      <c r="Q43" s="21"/>
      <c r="R43" s="21"/>
      <c r="S43" s="21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19" ht="46.5" customHeight="1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96"/>
      <c r="O44" s="21"/>
      <c r="P44" s="21"/>
      <c r="Q44" s="21"/>
      <c r="R44" s="21"/>
      <c r="S44" s="21"/>
    </row>
    <row r="45" spans="1:19" ht="37.5" customHeight="1">
      <c r="A45" s="594" t="s">
        <v>51</v>
      </c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6"/>
    </row>
    <row r="46" spans="1:19" ht="60.75" customHeight="1">
      <c r="A46" s="16" t="s">
        <v>71</v>
      </c>
      <c r="B46" s="61" t="s">
        <v>10</v>
      </c>
      <c r="C46" s="142">
        <v>1717</v>
      </c>
      <c r="D46" s="226"/>
      <c r="E46" s="142"/>
      <c r="F46" s="606" t="s">
        <v>74</v>
      </c>
      <c r="G46" s="607"/>
      <c r="H46" s="226" t="s">
        <v>75</v>
      </c>
      <c r="I46" s="590"/>
      <c r="J46" s="591"/>
      <c r="K46" s="246"/>
      <c r="L46" s="590"/>
      <c r="M46" s="591"/>
      <c r="N46" s="24">
        <v>0</v>
      </c>
      <c r="O46" s="227">
        <v>10000</v>
      </c>
      <c r="P46" s="227">
        <v>0</v>
      </c>
      <c r="Q46" s="620">
        <v>0</v>
      </c>
      <c r="R46" s="621"/>
      <c r="S46" s="227">
        <f>O46</f>
        <v>10000</v>
      </c>
    </row>
    <row r="47" spans="1:19" ht="63.75" customHeight="1">
      <c r="A47" s="16">
        <v>2</v>
      </c>
      <c r="B47" s="61" t="s">
        <v>55</v>
      </c>
      <c r="C47" s="142">
        <v>1206</v>
      </c>
      <c r="D47" s="226"/>
      <c r="E47" s="142"/>
      <c r="F47" s="606" t="s">
        <v>12</v>
      </c>
      <c r="G47" s="607"/>
      <c r="H47" s="226" t="s">
        <v>7</v>
      </c>
      <c r="I47" s="590"/>
      <c r="J47" s="591"/>
      <c r="K47" s="248"/>
      <c r="L47" s="590"/>
      <c r="M47" s="591"/>
      <c r="N47" s="24">
        <v>0</v>
      </c>
      <c r="O47" s="227">
        <v>10000</v>
      </c>
      <c r="P47" s="227">
        <f>0</f>
        <v>0</v>
      </c>
      <c r="Q47" s="620">
        <f>0</f>
        <v>0</v>
      </c>
      <c r="R47" s="621"/>
      <c r="S47" s="227">
        <v>10000</v>
      </c>
    </row>
    <row r="48" spans="1:19" ht="62.25" customHeight="1">
      <c r="A48" s="16">
        <v>3</v>
      </c>
      <c r="B48" s="56" t="s">
        <v>83</v>
      </c>
      <c r="C48" s="142">
        <v>514</v>
      </c>
      <c r="D48" s="226"/>
      <c r="E48" s="142"/>
      <c r="F48" s="606" t="s">
        <v>86</v>
      </c>
      <c r="G48" s="607"/>
      <c r="H48" s="226" t="s">
        <v>13</v>
      </c>
      <c r="I48" s="590"/>
      <c r="J48" s="591"/>
      <c r="K48" s="248"/>
      <c r="L48" s="590"/>
      <c r="M48" s="591"/>
      <c r="N48" s="24">
        <v>0</v>
      </c>
      <c r="O48" s="227">
        <f aca="true" t="shared" si="0" ref="O48:O53">S48</f>
        <v>10000</v>
      </c>
      <c r="P48" s="227">
        <f>0</f>
        <v>0</v>
      </c>
      <c r="Q48" s="620">
        <f>0</f>
        <v>0</v>
      </c>
      <c r="R48" s="621"/>
      <c r="S48" s="227">
        <v>10000</v>
      </c>
    </row>
    <row r="49" spans="1:19" ht="60.75" customHeight="1">
      <c r="A49" s="16">
        <v>4</v>
      </c>
      <c r="B49" s="61" t="s">
        <v>93</v>
      </c>
      <c r="C49" s="18">
        <v>365</v>
      </c>
      <c r="D49" s="226"/>
      <c r="E49" s="142"/>
      <c r="F49" s="606" t="s">
        <v>12</v>
      </c>
      <c r="G49" s="607"/>
      <c r="H49" s="226" t="s">
        <v>7</v>
      </c>
      <c r="I49" s="590"/>
      <c r="J49" s="591"/>
      <c r="K49" s="248"/>
      <c r="L49" s="585"/>
      <c r="M49" s="585"/>
      <c r="N49" s="24">
        <v>0</v>
      </c>
      <c r="O49" s="227">
        <f t="shared" si="0"/>
        <v>10000</v>
      </c>
      <c r="P49" s="227">
        <f>0</f>
        <v>0</v>
      </c>
      <c r="Q49" s="620">
        <f>0</f>
        <v>0</v>
      </c>
      <c r="R49" s="621"/>
      <c r="S49" s="227">
        <v>10000</v>
      </c>
    </row>
    <row r="50" spans="1:19" ht="60.75" customHeight="1">
      <c r="A50" s="16">
        <v>5</v>
      </c>
      <c r="B50" s="61" t="s">
        <v>57</v>
      </c>
      <c r="C50" s="142">
        <v>697</v>
      </c>
      <c r="D50" s="226"/>
      <c r="E50" s="142"/>
      <c r="F50" s="606" t="s">
        <v>12</v>
      </c>
      <c r="G50" s="607"/>
      <c r="H50" s="226" t="s">
        <v>7</v>
      </c>
      <c r="I50" s="590"/>
      <c r="J50" s="591"/>
      <c r="K50" s="248"/>
      <c r="L50" s="590"/>
      <c r="M50" s="591"/>
      <c r="N50" s="24">
        <v>0</v>
      </c>
      <c r="O50" s="227">
        <f t="shared" si="0"/>
        <v>10000</v>
      </c>
      <c r="P50" s="227">
        <f>0</f>
        <v>0</v>
      </c>
      <c r="Q50" s="620">
        <f>0</f>
        <v>0</v>
      </c>
      <c r="R50" s="621"/>
      <c r="S50" s="227">
        <v>10000</v>
      </c>
    </row>
    <row r="51" spans="1:19" ht="60.75" customHeight="1">
      <c r="A51" s="16">
        <v>6</v>
      </c>
      <c r="B51" s="57" t="s">
        <v>79</v>
      </c>
      <c r="C51" s="142">
        <v>767</v>
      </c>
      <c r="D51" s="226"/>
      <c r="E51" s="142"/>
      <c r="F51" s="606" t="s">
        <v>74</v>
      </c>
      <c r="G51" s="607"/>
      <c r="H51" s="226" t="s">
        <v>75</v>
      </c>
      <c r="I51" s="248"/>
      <c r="J51" s="248"/>
      <c r="K51" s="248"/>
      <c r="L51" s="248"/>
      <c r="M51" s="225"/>
      <c r="N51" s="24">
        <v>0</v>
      </c>
      <c r="O51" s="227">
        <f t="shared" si="0"/>
        <v>11000</v>
      </c>
      <c r="P51" s="227">
        <f>0</f>
        <v>0</v>
      </c>
      <c r="Q51" s="620">
        <f>0</f>
        <v>0</v>
      </c>
      <c r="R51" s="621"/>
      <c r="S51" s="227">
        <v>11000</v>
      </c>
    </row>
    <row r="52" spans="1:19" ht="60.75" customHeight="1">
      <c r="A52" s="16">
        <v>7</v>
      </c>
      <c r="B52" s="58" t="s">
        <v>78</v>
      </c>
      <c r="C52" s="142">
        <v>610</v>
      </c>
      <c r="D52" s="226"/>
      <c r="E52" s="142"/>
      <c r="F52" s="606" t="s">
        <v>74</v>
      </c>
      <c r="G52" s="607"/>
      <c r="H52" s="226" t="s">
        <v>75</v>
      </c>
      <c r="I52" s="248"/>
      <c r="J52" s="248"/>
      <c r="K52" s="248"/>
      <c r="L52" s="248"/>
      <c r="M52" s="225"/>
      <c r="N52" s="24">
        <v>0</v>
      </c>
      <c r="O52" s="227">
        <f t="shared" si="0"/>
        <v>10000</v>
      </c>
      <c r="P52" s="227">
        <f>0</f>
        <v>0</v>
      </c>
      <c r="Q52" s="620">
        <f>0</f>
        <v>0</v>
      </c>
      <c r="R52" s="621"/>
      <c r="S52" s="227">
        <v>10000</v>
      </c>
    </row>
    <row r="53" spans="1:19" ht="60.75" customHeight="1">
      <c r="A53" s="16">
        <v>8</v>
      </c>
      <c r="B53" s="57" t="s">
        <v>58</v>
      </c>
      <c r="C53" s="142">
        <v>601</v>
      </c>
      <c r="D53" s="226"/>
      <c r="E53" s="142"/>
      <c r="F53" s="606" t="s">
        <v>74</v>
      </c>
      <c r="G53" s="607"/>
      <c r="H53" s="226" t="s">
        <v>75</v>
      </c>
      <c r="I53" s="248"/>
      <c r="J53" s="248"/>
      <c r="K53" s="248"/>
      <c r="L53" s="248"/>
      <c r="M53" s="225"/>
      <c r="N53" s="24">
        <v>0</v>
      </c>
      <c r="O53" s="227">
        <f t="shared" si="0"/>
        <v>12000</v>
      </c>
      <c r="P53" s="227">
        <f>0</f>
        <v>0</v>
      </c>
      <c r="Q53" s="620">
        <f>0</f>
        <v>0</v>
      </c>
      <c r="R53" s="621"/>
      <c r="S53" s="227">
        <v>12000</v>
      </c>
    </row>
    <row r="54" spans="1:19" ht="36.75" customHeight="1">
      <c r="A54" s="16">
        <v>9</v>
      </c>
      <c r="B54" s="132" t="s">
        <v>38</v>
      </c>
      <c r="C54" s="143">
        <v>1329</v>
      </c>
      <c r="D54" s="608"/>
      <c r="E54" s="609"/>
      <c r="F54" s="226" t="s">
        <v>11</v>
      </c>
      <c r="G54" s="610" t="s">
        <v>47</v>
      </c>
      <c r="H54" s="611"/>
      <c r="I54" s="612"/>
      <c r="J54" s="613"/>
      <c r="K54" s="100">
        <v>0.9</v>
      </c>
      <c r="L54" s="101"/>
      <c r="M54" s="614">
        <v>0</v>
      </c>
      <c r="N54" s="615"/>
      <c r="O54" s="130">
        <f>1889.55</f>
        <v>1889.55</v>
      </c>
      <c r="P54" s="228">
        <v>0</v>
      </c>
      <c r="Q54" s="616">
        <v>0</v>
      </c>
      <c r="R54" s="617"/>
      <c r="S54" s="3">
        <v>1889.55</v>
      </c>
    </row>
    <row r="55" spans="1:19" ht="58.5" customHeight="1">
      <c r="A55" s="16">
        <v>10</v>
      </c>
      <c r="B55" s="57" t="s">
        <v>80</v>
      </c>
      <c r="C55" s="142">
        <v>775</v>
      </c>
      <c r="D55" s="226"/>
      <c r="E55" s="142"/>
      <c r="F55" s="606" t="s">
        <v>8</v>
      </c>
      <c r="G55" s="607"/>
      <c r="H55" s="226" t="s">
        <v>12</v>
      </c>
      <c r="I55" s="248"/>
      <c r="J55" s="248"/>
      <c r="K55" s="248"/>
      <c r="L55" s="248"/>
      <c r="M55" s="225"/>
      <c r="N55" s="24">
        <v>0</v>
      </c>
      <c r="O55" s="227">
        <v>11000</v>
      </c>
      <c r="P55" s="227">
        <v>0</v>
      </c>
      <c r="Q55" s="620">
        <v>0</v>
      </c>
      <c r="R55" s="621"/>
      <c r="S55" s="227">
        <v>12000</v>
      </c>
    </row>
    <row r="56" spans="1:19" ht="34.5" customHeight="1">
      <c r="A56" s="4"/>
      <c r="B56" s="186" t="s">
        <v>105</v>
      </c>
      <c r="C56" s="187">
        <f>SUM(C46:C55)</f>
        <v>8581</v>
      </c>
      <c r="D56" s="188"/>
      <c r="E56" s="187"/>
      <c r="F56" s="188"/>
      <c r="G56" s="188"/>
      <c r="H56" s="188"/>
      <c r="I56" s="188"/>
      <c r="J56" s="188"/>
      <c r="K56" s="188"/>
      <c r="L56" s="188"/>
      <c r="M56" s="188"/>
      <c r="N56" s="24">
        <f>SUM(N46:N55)</f>
        <v>0</v>
      </c>
      <c r="O56" s="24">
        <f>SUM(O46:O55)</f>
        <v>95889.55</v>
      </c>
      <c r="P56" s="24">
        <f>SUM(P46:P55)</f>
        <v>0</v>
      </c>
      <c r="Q56" s="653">
        <f>SUM(Q46:R55)</f>
        <v>0</v>
      </c>
      <c r="R56" s="654"/>
      <c r="S56" s="24">
        <f>SUM(S46:S55)</f>
        <v>96889.55</v>
      </c>
    </row>
    <row r="57" spans="1:19" ht="39.75" customHeight="1">
      <c r="A57" s="685" t="s">
        <v>29</v>
      </c>
      <c r="B57" s="686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7"/>
    </row>
    <row r="58" spans="1:19" ht="51" customHeight="1">
      <c r="A58" s="8"/>
      <c r="B58" s="50" t="s">
        <v>91</v>
      </c>
      <c r="C58" s="675"/>
      <c r="D58" s="676"/>
      <c r="E58" s="46"/>
      <c r="F58" s="675"/>
      <c r="G58" s="676"/>
      <c r="H58" s="8"/>
      <c r="I58" s="643"/>
      <c r="J58" s="645"/>
      <c r="K58" s="12"/>
      <c r="L58" s="675"/>
      <c r="M58" s="676"/>
      <c r="N58" s="41"/>
      <c r="O58" s="8"/>
      <c r="P58" s="8"/>
      <c r="Q58" s="675"/>
      <c r="R58" s="676"/>
      <c r="S58" s="51">
        <f>I26-L26</f>
        <v>30713.951079999795</v>
      </c>
    </row>
    <row r="59" spans="1:19" ht="45" customHeight="1">
      <c r="A59" s="4"/>
      <c r="B59" s="6" t="s">
        <v>102</v>
      </c>
      <c r="C59" s="622"/>
      <c r="D59" s="623"/>
      <c r="E59" s="5"/>
      <c r="F59" s="622"/>
      <c r="G59" s="623"/>
      <c r="H59" s="4"/>
      <c r="I59" s="683">
        <f>I26+I39+I56</f>
        <v>1085125.18</v>
      </c>
      <c r="J59" s="684"/>
      <c r="K59" s="248"/>
      <c r="L59" s="683">
        <f>L26+L39+L56</f>
        <v>1054411.2289200001</v>
      </c>
      <c r="M59" s="684"/>
      <c r="N59" s="24">
        <f>M26</f>
        <v>178625.93</v>
      </c>
      <c r="O59" s="24">
        <f>O26+O39+O56</f>
        <v>803660.1200000001</v>
      </c>
      <c r="P59" s="24">
        <f>P26+P39+P56</f>
        <v>0</v>
      </c>
      <c r="Q59" s="653">
        <f>Q32</f>
        <v>400000</v>
      </c>
      <c r="R59" s="654"/>
      <c r="S59" s="24">
        <f>S26+S39+S56</f>
        <v>484269.61</v>
      </c>
    </row>
    <row r="60" spans="1:19" ht="31.5" customHeight="1">
      <c r="A60" s="118"/>
      <c r="B60" s="61" t="s">
        <v>101</v>
      </c>
      <c r="C60" s="229"/>
      <c r="D60" s="230"/>
      <c r="E60" s="119"/>
      <c r="F60" s="229"/>
      <c r="G60" s="230"/>
      <c r="H60" s="118"/>
      <c r="I60" s="254"/>
      <c r="J60" s="255"/>
      <c r="K60" s="56"/>
      <c r="L60" s="256"/>
      <c r="M60" s="126"/>
      <c r="N60" s="182"/>
      <c r="O60" s="128"/>
      <c r="P60" s="129"/>
      <c r="Q60" s="673"/>
      <c r="R60" s="673"/>
      <c r="S60" s="227">
        <v>258297.66</v>
      </c>
    </row>
    <row r="61" spans="1:19" ht="29.25" customHeight="1">
      <c r="A61" s="239"/>
      <c r="B61" s="257" t="s">
        <v>103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681"/>
      <c r="R61" s="682"/>
      <c r="S61" s="259">
        <f>S59+S60</f>
        <v>742567.27</v>
      </c>
    </row>
    <row r="63" spans="2:19" ht="25.5">
      <c r="B63" s="173" t="s">
        <v>100</v>
      </c>
      <c r="C63" s="173"/>
      <c r="D63" s="173"/>
      <c r="E63" s="173"/>
      <c r="F63" s="173"/>
      <c r="G63" s="173"/>
      <c r="H63" s="173" t="s">
        <v>95</v>
      </c>
      <c r="I63" s="173"/>
      <c r="J63" s="173"/>
      <c r="K63" s="173"/>
      <c r="L63" s="173"/>
      <c r="M63" s="174"/>
      <c r="N63" s="297"/>
      <c r="P63" s="25"/>
      <c r="Q63" s="25"/>
      <c r="S63" s="23"/>
    </row>
    <row r="64" spans="2:14" ht="12.75"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297"/>
    </row>
    <row r="65" spans="2:14" ht="12.75"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297"/>
    </row>
    <row r="66" spans="2:14" ht="20.25">
      <c r="B66" s="173" t="s">
        <v>96</v>
      </c>
      <c r="C66" s="173"/>
      <c r="D66" s="173"/>
      <c r="E66" s="173"/>
      <c r="F66" s="173"/>
      <c r="G66" s="173"/>
      <c r="H66" s="173" t="s">
        <v>45</v>
      </c>
      <c r="I66" s="173"/>
      <c r="J66" s="173"/>
      <c r="K66" s="173"/>
      <c r="L66" s="173"/>
      <c r="M66" s="173"/>
      <c r="N66" s="298"/>
    </row>
    <row r="67" spans="2:14" ht="12.75"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297"/>
    </row>
    <row r="68" spans="2:14" ht="12.75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297"/>
    </row>
  </sheetData>
  <mergeCells count="141">
    <mergeCell ref="C7:P7"/>
    <mergeCell ref="A9:A13"/>
    <mergeCell ref="B9:B13"/>
    <mergeCell ref="C9:C13"/>
    <mergeCell ref="D9:E13"/>
    <mergeCell ref="F9:H10"/>
    <mergeCell ref="I9:L9"/>
    <mergeCell ref="M9:N13"/>
    <mergeCell ref="O9:S9"/>
    <mergeCell ref="I10:L10"/>
    <mergeCell ref="D14:E14"/>
    <mergeCell ref="G14:H14"/>
    <mergeCell ref="I14:J14"/>
    <mergeCell ref="M14:N14"/>
    <mergeCell ref="Q14:R14"/>
    <mergeCell ref="A15:S15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D16:E16"/>
    <mergeCell ref="I16:J16"/>
    <mergeCell ref="M16:N16"/>
    <mergeCell ref="Q16:R16"/>
    <mergeCell ref="D17:E17"/>
    <mergeCell ref="G17:H17"/>
    <mergeCell ref="I17:J17"/>
    <mergeCell ref="M17:N17"/>
    <mergeCell ref="Q17:R17"/>
    <mergeCell ref="D18:E18"/>
    <mergeCell ref="G18:H18"/>
    <mergeCell ref="I18:J18"/>
    <mergeCell ref="M18:N18"/>
    <mergeCell ref="Q18:R18"/>
    <mergeCell ref="D19:E19"/>
    <mergeCell ref="G19:H19"/>
    <mergeCell ref="I19:J19"/>
    <mergeCell ref="M19:N19"/>
    <mergeCell ref="Q19:R19"/>
    <mergeCell ref="A26:B26"/>
    <mergeCell ref="I26:J26"/>
    <mergeCell ref="M26:N26"/>
    <mergeCell ref="Q26:R26"/>
    <mergeCell ref="D20:E20"/>
    <mergeCell ref="G20:H20"/>
    <mergeCell ref="I20:J20"/>
    <mergeCell ref="M20:N20"/>
    <mergeCell ref="Q20:R20"/>
    <mergeCell ref="I21:J21"/>
    <mergeCell ref="M21:N21"/>
    <mergeCell ref="Q21:R21"/>
    <mergeCell ref="C27:D27"/>
    <mergeCell ref="F27:G27"/>
    <mergeCell ref="I27:J27"/>
    <mergeCell ref="L27:M27"/>
    <mergeCell ref="Q27:R27"/>
    <mergeCell ref="Q28:R28"/>
    <mergeCell ref="Q22:R22"/>
    <mergeCell ref="Q23:R23"/>
    <mergeCell ref="Q24:R24"/>
    <mergeCell ref="Q25:R25"/>
    <mergeCell ref="A35:S35"/>
    <mergeCell ref="C36:D36"/>
    <mergeCell ref="I36:J36"/>
    <mergeCell ref="L36:M36"/>
    <mergeCell ref="Q36:R36"/>
    <mergeCell ref="I37:J37"/>
    <mergeCell ref="M37:N37"/>
    <mergeCell ref="Q37:R37"/>
    <mergeCell ref="B29:S29"/>
    <mergeCell ref="I30:J30"/>
    <mergeCell ref="M30:N30"/>
    <mergeCell ref="Q30:R30"/>
    <mergeCell ref="Q31:R31"/>
    <mergeCell ref="A32:B32"/>
    <mergeCell ref="Q32:R32"/>
    <mergeCell ref="Q33:R33"/>
    <mergeCell ref="Q34:R34"/>
    <mergeCell ref="A41:S41"/>
    <mergeCell ref="A45:S45"/>
    <mergeCell ref="F46:G46"/>
    <mergeCell ref="I46:J46"/>
    <mergeCell ref="L46:M46"/>
    <mergeCell ref="Q46:R46"/>
    <mergeCell ref="D38:E38"/>
    <mergeCell ref="G38:H38"/>
    <mergeCell ref="I38:J38"/>
    <mergeCell ref="M38:N38"/>
    <mergeCell ref="Q38:R38"/>
    <mergeCell ref="I39:J39"/>
    <mergeCell ref="M39:N39"/>
    <mergeCell ref="Q39:R39"/>
    <mergeCell ref="F49:G49"/>
    <mergeCell ref="I49:J49"/>
    <mergeCell ref="L49:M49"/>
    <mergeCell ref="Q49:R49"/>
    <mergeCell ref="F50:G50"/>
    <mergeCell ref="I50:J50"/>
    <mergeCell ref="L50:M50"/>
    <mergeCell ref="Q50:R50"/>
    <mergeCell ref="F47:G47"/>
    <mergeCell ref="I47:J47"/>
    <mergeCell ref="L47:M47"/>
    <mergeCell ref="Q47:R47"/>
    <mergeCell ref="F48:G48"/>
    <mergeCell ref="I48:J48"/>
    <mergeCell ref="L48:M48"/>
    <mergeCell ref="Q48:R48"/>
    <mergeCell ref="D54:E54"/>
    <mergeCell ref="G54:H54"/>
    <mergeCell ref="I54:J54"/>
    <mergeCell ref="M54:N54"/>
    <mergeCell ref="Q54:R54"/>
    <mergeCell ref="F55:G55"/>
    <mergeCell ref="Q55:R55"/>
    <mergeCell ref="F51:G51"/>
    <mergeCell ref="Q51:R51"/>
    <mergeCell ref="F52:G52"/>
    <mergeCell ref="Q52:R52"/>
    <mergeCell ref="F53:G53"/>
    <mergeCell ref="Q53:R53"/>
    <mergeCell ref="Q61:R61"/>
    <mergeCell ref="C59:D59"/>
    <mergeCell ref="F59:G59"/>
    <mergeCell ref="I59:J59"/>
    <mergeCell ref="L59:M59"/>
    <mergeCell ref="Q59:R59"/>
    <mergeCell ref="Q60:R60"/>
    <mergeCell ref="Q56:R56"/>
    <mergeCell ref="A57:S57"/>
    <mergeCell ref="C58:D58"/>
    <mergeCell ref="F58:G58"/>
    <mergeCell ref="I58:J58"/>
    <mergeCell ref="L58:M58"/>
    <mergeCell ref="Q58:R58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0"/>
  <sheetViews>
    <sheetView zoomScale="69" zoomScaleNormal="69" workbookViewId="0" topLeftCell="A7">
      <selection activeCell="A7" sqref="A7:T37"/>
    </sheetView>
  </sheetViews>
  <sheetFormatPr defaultColWidth="9.140625" defaultRowHeight="12.75"/>
  <cols>
    <col min="1" max="1" width="11.421875" style="349" customWidth="1"/>
    <col min="2" max="2" width="122.28125" style="10" customWidth="1"/>
    <col min="3" max="3" width="12.57421875" style="10" customWidth="1"/>
    <col min="4" max="4" width="11.7109375" style="10" hidden="1" customWidth="1"/>
    <col min="5" max="5" width="11.8515625" style="10" hidden="1" customWidth="1"/>
    <col min="6" max="6" width="15.28125" style="10" hidden="1" customWidth="1"/>
    <col min="7" max="7" width="24.8515625" style="10" hidden="1" customWidth="1"/>
    <col min="8" max="8" width="13.421875" style="10" hidden="1" customWidth="1"/>
    <col min="9" max="9" width="20.7109375" style="10" customWidth="1"/>
    <col min="10" max="10" width="30.00390625" style="10" customWidth="1"/>
    <col min="11" max="11" width="0.2890625" style="10" hidden="1" customWidth="1"/>
    <col min="12" max="12" width="6.00390625" style="10" hidden="1" customWidth="1"/>
    <col min="13" max="13" width="22.00390625" style="10" hidden="1" customWidth="1"/>
    <col min="14" max="14" width="6.28125" style="10" hidden="1" customWidth="1"/>
    <col min="15" max="15" width="14.8515625" style="10" hidden="1" customWidth="1"/>
    <col min="16" max="16" width="18.140625" style="10" hidden="1" customWidth="1"/>
    <col min="17" max="17" width="20.00390625" style="10" hidden="1" customWidth="1"/>
    <col min="18" max="18" width="14.00390625" style="10" hidden="1" customWidth="1"/>
    <col min="19" max="19" width="5.00390625" style="10" hidden="1" customWidth="1"/>
    <col min="20" max="20" width="42.00390625" style="10" customWidth="1"/>
    <col min="21" max="21" width="2.7109375" style="15" customWidth="1"/>
    <col min="22" max="22" width="33.140625" style="15" customWidth="1"/>
    <col min="23" max="61" width="9.140625" style="15" customWidth="1"/>
    <col min="62" max="16384" width="9.140625" style="10" customWidth="1"/>
  </cols>
  <sheetData>
    <row r="1" spans="1:256" ht="18.75" hidden="1">
      <c r="A1" s="346"/>
      <c r="B1" s="189"/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189"/>
      <c r="O1" s="190"/>
      <c r="P1" s="191"/>
      <c r="Q1" s="190" t="s">
        <v>33</v>
      </c>
      <c r="R1" s="190"/>
      <c r="S1" s="2"/>
      <c r="T1" s="2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50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2"/>
      <c r="BK1" s="1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1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1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1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1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1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1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1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1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1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1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1"/>
      <c r="IV1" s="2"/>
    </row>
    <row r="2" spans="1:256" ht="18.75" hidden="1">
      <c r="A2" s="346"/>
      <c r="B2" s="189"/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90" t="s">
        <v>34</v>
      </c>
      <c r="R2" s="189"/>
      <c r="S2" s="1"/>
      <c r="T2" s="2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50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2"/>
      <c r="BK2" s="2"/>
      <c r="BL2" s="1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1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1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1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1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1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1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1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1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1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1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1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1"/>
    </row>
    <row r="3" spans="1:256" ht="18.75" hidden="1">
      <c r="A3" s="346"/>
      <c r="B3" s="189"/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  <c r="O3" s="189"/>
      <c r="P3" s="190"/>
      <c r="Q3" s="190"/>
      <c r="R3" s="189"/>
      <c r="S3" s="1"/>
      <c r="T3" s="2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50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50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2"/>
      <c r="BK3" s="2"/>
      <c r="BL3" s="1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1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1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1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1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1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1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1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1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1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1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1"/>
    </row>
    <row r="4" spans="1:256" ht="18.75" hidden="1">
      <c r="A4" s="346"/>
      <c r="B4" s="189"/>
      <c r="C4" s="189"/>
      <c r="D4" s="189"/>
      <c r="E4" s="189"/>
      <c r="F4" s="189" t="s">
        <v>6</v>
      </c>
      <c r="G4" s="189"/>
      <c r="H4" s="189"/>
      <c r="I4" s="189"/>
      <c r="J4" s="189"/>
      <c r="K4" s="189"/>
      <c r="L4" s="189"/>
      <c r="M4" s="189"/>
      <c r="N4" s="189"/>
      <c r="O4" s="189"/>
      <c r="P4" s="190"/>
      <c r="Q4" s="190" t="s">
        <v>62</v>
      </c>
      <c r="R4" s="189"/>
      <c r="S4" s="1"/>
      <c r="T4" s="2"/>
      <c r="U4" s="149"/>
      <c r="V4" s="215"/>
      <c r="W4" s="149"/>
      <c r="X4" s="149"/>
      <c r="Y4" s="149"/>
      <c r="Z4" s="149"/>
      <c r="AA4" s="149"/>
      <c r="AB4" s="149"/>
      <c r="AC4" s="149"/>
      <c r="AD4" s="149"/>
      <c r="AE4" s="149"/>
      <c r="AF4" s="150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50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2"/>
      <c r="BK4" s="2"/>
      <c r="BL4" s="1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1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1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1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1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1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1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1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1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1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1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1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1"/>
    </row>
    <row r="5" spans="1:256" ht="18.75" hidden="1">
      <c r="A5" s="346"/>
      <c r="B5" s="189"/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189"/>
      <c r="O5" s="189"/>
      <c r="P5" s="190"/>
      <c r="Q5" s="189" t="s">
        <v>35</v>
      </c>
      <c r="R5" s="189"/>
      <c r="S5" s="2"/>
      <c r="T5" s="2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50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50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2"/>
      <c r="BK5" s="2"/>
      <c r="BL5" s="1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1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1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1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1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1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1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1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1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1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1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1"/>
    </row>
    <row r="7" spans="1:21" ht="18.75" customHeight="1">
      <c r="A7" s="347"/>
      <c r="B7" s="728" t="s">
        <v>117</v>
      </c>
      <c r="C7" s="728"/>
      <c r="D7" s="728"/>
      <c r="E7" s="728"/>
      <c r="F7" s="728"/>
      <c r="G7" s="728"/>
      <c r="H7" s="728"/>
      <c r="I7" s="728"/>
      <c r="J7" s="343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216"/>
    </row>
    <row r="8" spans="1:21" ht="25.5" customHeight="1">
      <c r="A8" s="347"/>
      <c r="B8" s="342" t="s">
        <v>116</v>
      </c>
      <c r="C8" s="343"/>
      <c r="D8" s="343"/>
      <c r="E8" s="343"/>
      <c r="F8" s="343"/>
      <c r="G8" s="343"/>
      <c r="H8" s="343"/>
      <c r="I8" s="343"/>
      <c r="J8" s="343"/>
      <c r="K8" s="341"/>
      <c r="L8" s="341"/>
      <c r="M8" s="341"/>
      <c r="N8" s="341"/>
      <c r="O8" s="341"/>
      <c r="P8" s="341"/>
      <c r="Q8" s="341"/>
      <c r="R8" s="341"/>
      <c r="S8" s="341"/>
      <c r="T8" s="341"/>
      <c r="U8" s="216"/>
    </row>
    <row r="9" spans="1:20" ht="80.2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720" t="s">
        <v>99</v>
      </c>
      <c r="J9" s="585" t="s">
        <v>97</v>
      </c>
      <c r="K9" s="204"/>
      <c r="L9" s="204"/>
      <c r="M9" s="201"/>
      <c r="N9" s="194" t="s">
        <v>65</v>
      </c>
      <c r="O9" s="196"/>
      <c r="P9" s="200"/>
      <c r="Q9" s="204"/>
      <c r="R9" s="204"/>
      <c r="S9" s="204"/>
      <c r="T9" s="715" t="s">
        <v>98</v>
      </c>
    </row>
    <row r="10" spans="1:20" ht="18.75" customHeight="1">
      <c r="A10" s="633"/>
      <c r="B10" s="716"/>
      <c r="C10" s="721"/>
      <c r="D10" s="716"/>
      <c r="E10" s="717"/>
      <c r="F10" s="718"/>
      <c r="G10" s="724"/>
      <c r="H10" s="719"/>
      <c r="I10" s="721"/>
      <c r="J10" s="585"/>
      <c r="K10" s="204"/>
      <c r="L10" s="204"/>
      <c r="M10" s="201"/>
      <c r="N10" s="202"/>
      <c r="O10" s="203"/>
      <c r="P10" s="205"/>
      <c r="Q10" s="200"/>
      <c r="R10" s="204"/>
      <c r="S10" s="204"/>
      <c r="T10" s="717"/>
    </row>
    <row r="11" spans="1:20" ht="18.75" customHeight="1">
      <c r="A11" s="633"/>
      <c r="B11" s="716"/>
      <c r="C11" s="721"/>
      <c r="D11" s="716"/>
      <c r="E11" s="717"/>
      <c r="F11" s="160" t="s">
        <v>20</v>
      </c>
      <c r="G11" s="590" t="s">
        <v>21</v>
      </c>
      <c r="H11" s="591"/>
      <c r="I11" s="721"/>
      <c r="J11" s="585"/>
      <c r="K11" s="196"/>
      <c r="L11" s="160"/>
      <c r="M11" s="206" t="s">
        <v>23</v>
      </c>
      <c r="N11" s="202"/>
      <c r="O11" s="203"/>
      <c r="P11" s="207"/>
      <c r="Q11" s="206"/>
      <c r="R11" s="194"/>
      <c r="S11" s="195"/>
      <c r="T11" s="717"/>
    </row>
    <row r="12" spans="1:20" ht="6" customHeight="1">
      <c r="A12" s="633"/>
      <c r="B12" s="716"/>
      <c r="C12" s="721"/>
      <c r="D12" s="716"/>
      <c r="E12" s="717"/>
      <c r="F12" s="160" t="s">
        <v>69</v>
      </c>
      <c r="G12" s="590" t="s">
        <v>69</v>
      </c>
      <c r="H12" s="591"/>
      <c r="I12" s="721"/>
      <c r="J12" s="585"/>
      <c r="K12" s="203"/>
      <c r="L12" s="160"/>
      <c r="M12" s="209"/>
      <c r="N12" s="202"/>
      <c r="O12" s="203"/>
      <c r="P12" s="207"/>
      <c r="Q12" s="209"/>
      <c r="R12" s="197"/>
      <c r="S12" s="198"/>
      <c r="T12" s="717"/>
    </row>
    <row r="13" spans="1:20" ht="3.75" customHeight="1">
      <c r="A13" s="634"/>
      <c r="B13" s="718"/>
      <c r="C13" s="722"/>
      <c r="D13" s="718"/>
      <c r="E13" s="719"/>
      <c r="F13" s="160" t="s">
        <v>63</v>
      </c>
      <c r="G13" s="590" t="s">
        <v>64</v>
      </c>
      <c r="H13" s="591"/>
      <c r="I13" s="722"/>
      <c r="J13" s="585"/>
      <c r="K13" s="199"/>
      <c r="L13" s="160"/>
      <c r="M13" s="208"/>
      <c r="N13" s="197"/>
      <c r="O13" s="199"/>
      <c r="P13" s="210"/>
      <c r="Q13" s="208"/>
      <c r="R13" s="200"/>
      <c r="S13" s="201"/>
      <c r="T13" s="719"/>
    </row>
    <row r="14" spans="1:20" ht="18.75">
      <c r="A14" s="13">
        <v>1</v>
      </c>
      <c r="B14" s="172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211"/>
      <c r="J14" s="708">
        <v>4</v>
      </c>
      <c r="K14" s="709"/>
      <c r="L14" s="158"/>
      <c r="M14" s="158">
        <v>8</v>
      </c>
      <c r="N14" s="708">
        <v>9</v>
      </c>
      <c r="O14" s="709"/>
      <c r="P14" s="192">
        <v>10</v>
      </c>
      <c r="Q14" s="193">
        <v>11</v>
      </c>
      <c r="R14" s="708">
        <v>12</v>
      </c>
      <c r="S14" s="709"/>
      <c r="T14" s="158">
        <v>5</v>
      </c>
    </row>
    <row r="15" spans="1:20" ht="30.75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6"/>
    </row>
    <row r="16" spans="1:20" ht="48" customHeight="1">
      <c r="A16" s="158">
        <v>1</v>
      </c>
      <c r="B16" s="57" t="s">
        <v>48</v>
      </c>
      <c r="C16" s="18">
        <v>567</v>
      </c>
      <c r="D16" s="618">
        <v>567</v>
      </c>
      <c r="E16" s="619"/>
      <c r="F16" s="161" t="s">
        <v>76</v>
      </c>
      <c r="G16" s="161"/>
      <c r="H16" s="161" t="s">
        <v>75</v>
      </c>
      <c r="I16" s="164">
        <v>1982</v>
      </c>
      <c r="J16" s="612">
        <v>75245</v>
      </c>
      <c r="K16" s="613"/>
      <c r="L16" s="93">
        <v>0.9</v>
      </c>
      <c r="M16" s="3">
        <v>64800</v>
      </c>
      <c r="N16" s="627">
        <v>64742.8</v>
      </c>
      <c r="O16" s="628"/>
      <c r="P16" s="42">
        <f>R16+T16</f>
        <v>132.70723104056438</v>
      </c>
      <c r="Q16" s="159">
        <f>0</f>
        <v>0</v>
      </c>
      <c r="R16" s="620">
        <f>0</f>
        <v>0</v>
      </c>
      <c r="S16" s="621"/>
      <c r="T16" s="3">
        <f aca="true" t="shared" si="0" ref="T16:T25">J16/C16</f>
        <v>132.70723104056438</v>
      </c>
    </row>
    <row r="17" spans="1:20" ht="51.75" customHeight="1">
      <c r="A17" s="158">
        <v>2</v>
      </c>
      <c r="B17" s="344" t="s">
        <v>44</v>
      </c>
      <c r="C17" s="18">
        <v>377</v>
      </c>
      <c r="D17" s="618">
        <v>377</v>
      </c>
      <c r="E17" s="619"/>
      <c r="F17" s="161" t="s">
        <v>76</v>
      </c>
      <c r="G17" s="606" t="s">
        <v>11</v>
      </c>
      <c r="H17" s="607"/>
      <c r="I17" s="60">
        <v>1982</v>
      </c>
      <c r="J17" s="612">
        <v>106395</v>
      </c>
      <c r="K17" s="613"/>
      <c r="L17" s="94">
        <v>0.9</v>
      </c>
      <c r="M17" s="52">
        <v>90679.51</v>
      </c>
      <c r="N17" s="620">
        <v>3484.21</v>
      </c>
      <c r="O17" s="621"/>
      <c r="P17" s="42">
        <f>R17+T17</f>
        <v>60183.59485411141</v>
      </c>
      <c r="Q17" s="159">
        <f>0</f>
        <v>0</v>
      </c>
      <c r="R17" s="612">
        <f>69901.38-10000</f>
        <v>59901.380000000005</v>
      </c>
      <c r="S17" s="613"/>
      <c r="T17" s="3">
        <f t="shared" si="0"/>
        <v>282.2148541114058</v>
      </c>
    </row>
    <row r="18" spans="1:20" ht="29.25" customHeight="1">
      <c r="A18" s="158">
        <v>3</v>
      </c>
      <c r="B18" s="57" t="s">
        <v>30</v>
      </c>
      <c r="C18" s="18">
        <v>502</v>
      </c>
      <c r="D18" s="618">
        <v>502</v>
      </c>
      <c r="E18" s="619"/>
      <c r="F18" s="161" t="s">
        <v>76</v>
      </c>
      <c r="G18" s="606" t="s">
        <v>11</v>
      </c>
      <c r="H18" s="607"/>
      <c r="I18" s="60">
        <v>1976</v>
      </c>
      <c r="J18" s="612">
        <v>99451</v>
      </c>
      <c r="K18" s="613"/>
      <c r="L18" s="94">
        <v>0.9</v>
      </c>
      <c r="M18" s="52">
        <f>N18+P18</f>
        <v>71813.359561753</v>
      </c>
      <c r="N18" s="620">
        <f>5555.65+15059.6</f>
        <v>20615.25</v>
      </c>
      <c r="O18" s="621"/>
      <c r="P18" s="42">
        <f>R18+T18</f>
        <v>51198.109561752986</v>
      </c>
      <c r="Q18" s="159">
        <f>0</f>
        <v>0</v>
      </c>
      <c r="R18" s="612">
        <f>61000-10000</f>
        <v>51000</v>
      </c>
      <c r="S18" s="613"/>
      <c r="T18" s="3">
        <f t="shared" si="0"/>
        <v>198.10956175298804</v>
      </c>
    </row>
    <row r="19" spans="1:20" ht="35.25" customHeight="1">
      <c r="A19" s="158">
        <v>4</v>
      </c>
      <c r="B19" s="344" t="s">
        <v>37</v>
      </c>
      <c r="C19" s="18">
        <v>1064</v>
      </c>
      <c r="D19" s="618">
        <v>1064</v>
      </c>
      <c r="E19" s="619"/>
      <c r="F19" s="161" t="s">
        <v>76</v>
      </c>
      <c r="G19" s="606" t="s">
        <v>12</v>
      </c>
      <c r="H19" s="607"/>
      <c r="I19" s="60">
        <v>1978</v>
      </c>
      <c r="J19" s="612">
        <v>114278</v>
      </c>
      <c r="K19" s="613"/>
      <c r="L19" s="94">
        <v>0.9</v>
      </c>
      <c r="M19" s="52">
        <f>N19+P19</f>
        <v>59947.274135338346</v>
      </c>
      <c r="N19" s="620">
        <v>19541</v>
      </c>
      <c r="O19" s="621"/>
      <c r="P19" s="52">
        <f>R19+T19</f>
        <v>40406.274135338346</v>
      </c>
      <c r="Q19" s="159">
        <f>0</f>
        <v>0</v>
      </c>
      <c r="R19" s="612">
        <v>40298.87</v>
      </c>
      <c r="S19" s="613"/>
      <c r="T19" s="3">
        <f t="shared" si="0"/>
        <v>107.40413533834587</v>
      </c>
    </row>
    <row r="20" spans="1:20" ht="39" customHeight="1">
      <c r="A20" s="355">
        <v>5</v>
      </c>
      <c r="B20" s="132" t="s">
        <v>38</v>
      </c>
      <c r="C20" s="83">
        <v>1329</v>
      </c>
      <c r="D20" s="658">
        <v>1329</v>
      </c>
      <c r="E20" s="659"/>
      <c r="F20" s="161" t="s">
        <v>76</v>
      </c>
      <c r="G20" s="610" t="s">
        <v>11</v>
      </c>
      <c r="H20" s="611"/>
      <c r="I20" s="212">
        <v>1975</v>
      </c>
      <c r="J20" s="612">
        <v>140749</v>
      </c>
      <c r="K20" s="613"/>
      <c r="L20" s="100">
        <v>0.9</v>
      </c>
      <c r="M20" s="52">
        <f>N20+P20</f>
        <v>82478.04594431903</v>
      </c>
      <c r="N20" s="614">
        <f>46.05+7000+143.54+167.29+125+7500</f>
        <v>14981.880000000001</v>
      </c>
      <c r="O20" s="615"/>
      <c r="P20" s="145">
        <f>R20+T20</f>
        <v>67496.16594431903</v>
      </c>
      <c r="Q20" s="167">
        <v>0</v>
      </c>
      <c r="R20" s="616">
        <f>82000-14609.74</f>
        <v>67390.26</v>
      </c>
      <c r="S20" s="617"/>
      <c r="T20" s="3">
        <f t="shared" si="0"/>
        <v>105.90594431903688</v>
      </c>
    </row>
    <row r="21" spans="1:62" s="89" customFormat="1" ht="41.25" customHeight="1">
      <c r="A21" s="158">
        <v>6</v>
      </c>
      <c r="B21" s="57" t="s">
        <v>56</v>
      </c>
      <c r="C21" s="18">
        <v>549</v>
      </c>
      <c r="D21" s="160"/>
      <c r="E21" s="18">
        <f>C21</f>
        <v>549</v>
      </c>
      <c r="F21" s="161" t="s">
        <v>76</v>
      </c>
      <c r="G21" s="161"/>
      <c r="H21" s="161" t="s">
        <v>11</v>
      </c>
      <c r="I21" s="164">
        <v>1986</v>
      </c>
      <c r="J21" s="612">
        <v>104103</v>
      </c>
      <c r="K21" s="613"/>
      <c r="L21" s="102">
        <v>0.9</v>
      </c>
      <c r="M21" s="3">
        <v>84323</v>
      </c>
      <c r="N21" s="612">
        <f>40350.59+14910.2</f>
        <v>55260.78999999999</v>
      </c>
      <c r="O21" s="613"/>
      <c r="P21" s="42">
        <f>Q21+R21+T21</f>
        <v>189.62295081967213</v>
      </c>
      <c r="Q21" s="159">
        <f>0</f>
        <v>0</v>
      </c>
      <c r="R21" s="620">
        <f>0</f>
        <v>0</v>
      </c>
      <c r="S21" s="621"/>
      <c r="T21" s="3">
        <f t="shared" si="0"/>
        <v>189.62295081967213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48"/>
    </row>
    <row r="22" spans="1:20" s="15" customFormat="1" ht="40.5" customHeight="1">
      <c r="A22" s="356">
        <v>7</v>
      </c>
      <c r="B22" s="57" t="s">
        <v>10</v>
      </c>
      <c r="C22" s="18">
        <v>1717</v>
      </c>
      <c r="D22" s="160"/>
      <c r="E22" s="18">
        <f>C22</f>
        <v>1717</v>
      </c>
      <c r="F22" s="161" t="s">
        <v>11</v>
      </c>
      <c r="G22" s="161"/>
      <c r="H22" s="161" t="s">
        <v>7</v>
      </c>
      <c r="I22" s="164">
        <v>1982</v>
      </c>
      <c r="J22" s="366">
        <v>170000</v>
      </c>
      <c r="K22" s="367">
        <f>SUM(J22)</f>
        <v>170000</v>
      </c>
      <c r="L22" s="102">
        <v>0.9</v>
      </c>
      <c r="M22" s="42">
        <f>P22</f>
        <v>37899.0099009901</v>
      </c>
      <c r="N22" s="91"/>
      <c r="O22" s="166">
        <v>0</v>
      </c>
      <c r="P22" s="42">
        <f>R22+T22</f>
        <v>37899.0099009901</v>
      </c>
      <c r="Q22" s="159">
        <f>0</f>
        <v>0</v>
      </c>
      <c r="R22" s="620">
        <v>37800</v>
      </c>
      <c r="S22" s="621"/>
      <c r="T22" s="3">
        <f t="shared" si="0"/>
        <v>99.00990099009901</v>
      </c>
    </row>
    <row r="23" spans="1:20" s="15" customFormat="1" ht="38.25" customHeight="1">
      <c r="A23" s="158">
        <v>8</v>
      </c>
      <c r="B23" s="57" t="s">
        <v>79</v>
      </c>
      <c r="C23" s="18">
        <v>711.8</v>
      </c>
      <c r="D23" s="160"/>
      <c r="E23" s="18">
        <f>C23</f>
        <v>711.8</v>
      </c>
      <c r="F23" s="161" t="s">
        <v>12</v>
      </c>
      <c r="G23" s="161" t="s">
        <v>9</v>
      </c>
      <c r="H23" s="161" t="s">
        <v>9</v>
      </c>
      <c r="I23" s="164">
        <v>1973</v>
      </c>
      <c r="J23" s="366">
        <v>117314.16</v>
      </c>
      <c r="K23" s="367">
        <f>SUM(J23)</f>
        <v>117314.16</v>
      </c>
      <c r="L23" s="62">
        <v>0.9</v>
      </c>
      <c r="M23" s="42">
        <f>J23</f>
        <v>117314.16</v>
      </c>
      <c r="N23" s="91"/>
      <c r="O23" s="166">
        <v>0</v>
      </c>
      <c r="P23" s="3">
        <f>R23+T23</f>
        <v>23164.81337454341</v>
      </c>
      <c r="Q23" s="159">
        <f>0</f>
        <v>0</v>
      </c>
      <c r="R23" s="620">
        <v>23000</v>
      </c>
      <c r="S23" s="621"/>
      <c r="T23" s="3">
        <f t="shared" si="0"/>
        <v>164.81337454341107</v>
      </c>
    </row>
    <row r="24" spans="1:20" s="15" customFormat="1" ht="55.5" customHeight="1">
      <c r="A24" s="158">
        <v>9</v>
      </c>
      <c r="B24" s="58" t="s">
        <v>82</v>
      </c>
      <c r="C24" s="18">
        <v>610</v>
      </c>
      <c r="D24" s="160"/>
      <c r="E24" s="18">
        <f>C24</f>
        <v>610</v>
      </c>
      <c r="F24" s="161" t="s">
        <v>12</v>
      </c>
      <c r="G24" s="161" t="s">
        <v>9</v>
      </c>
      <c r="H24" s="161" t="s">
        <v>9</v>
      </c>
      <c r="I24" s="164">
        <v>1963</v>
      </c>
      <c r="J24" s="366">
        <v>122000</v>
      </c>
      <c r="K24" s="367">
        <f>SUM(J24)</f>
        <v>122000</v>
      </c>
      <c r="L24" s="62">
        <v>0.9</v>
      </c>
      <c r="M24" s="42">
        <f>P24</f>
        <v>19200</v>
      </c>
      <c r="N24" s="91"/>
      <c r="O24" s="166">
        <v>0</v>
      </c>
      <c r="P24" s="3">
        <f>R24+T24</f>
        <v>19200</v>
      </c>
      <c r="Q24" s="159">
        <f>0</f>
        <v>0</v>
      </c>
      <c r="R24" s="620">
        <v>19000</v>
      </c>
      <c r="S24" s="621"/>
      <c r="T24" s="3">
        <f>J24/C24</f>
        <v>200</v>
      </c>
    </row>
    <row r="25" spans="1:20" s="15" customFormat="1" ht="32.25" customHeight="1">
      <c r="A25" s="158">
        <v>10</v>
      </c>
      <c r="B25" s="57" t="s">
        <v>58</v>
      </c>
      <c r="C25" s="18">
        <v>601</v>
      </c>
      <c r="D25" s="160"/>
      <c r="E25" s="18">
        <f>C25</f>
        <v>601</v>
      </c>
      <c r="F25" s="161" t="s">
        <v>8</v>
      </c>
      <c r="G25" s="161"/>
      <c r="H25" s="161" t="s">
        <v>13</v>
      </c>
      <c r="I25" s="164">
        <v>1963</v>
      </c>
      <c r="J25" s="366">
        <v>120200</v>
      </c>
      <c r="K25" s="367">
        <f>SUM(J25)</f>
        <v>120200</v>
      </c>
      <c r="L25" s="62">
        <v>0.9</v>
      </c>
      <c r="M25" s="42">
        <f>J25</f>
        <v>120200</v>
      </c>
      <c r="N25" s="91"/>
      <c r="O25" s="166">
        <f>P25</f>
        <v>98000</v>
      </c>
      <c r="P25" s="3">
        <v>98000</v>
      </c>
      <c r="Q25" s="159">
        <f>0</f>
        <v>0</v>
      </c>
      <c r="R25" s="620">
        <v>22000</v>
      </c>
      <c r="S25" s="621"/>
      <c r="T25" s="3">
        <f t="shared" si="0"/>
        <v>200</v>
      </c>
    </row>
    <row r="26" spans="1:22" ht="33" customHeight="1">
      <c r="A26" s="689" t="s">
        <v>32</v>
      </c>
      <c r="B26" s="690"/>
      <c r="C26" s="175">
        <f>SUM(C16:C25)</f>
        <v>8027.8</v>
      </c>
      <c r="D26" s="175">
        <f>SUM(D16:D25)</f>
        <v>3839</v>
      </c>
      <c r="E26" s="175" t="e">
        <f>SUM(D16:E25)-#REF!-#REF!</f>
        <v>#REF!</v>
      </c>
      <c r="F26" s="176"/>
      <c r="G26" s="176"/>
      <c r="H26" s="176"/>
      <c r="I26" s="213"/>
      <c r="J26" s="683">
        <f>SUM(J16:J25)</f>
        <v>1169735.1600000001</v>
      </c>
      <c r="K26" s="684"/>
      <c r="L26" s="177"/>
      <c r="M26" s="178">
        <f>SUM(M16:M25)</f>
        <v>748654.3595424006</v>
      </c>
      <c r="N26" s="698">
        <f>SUM(N16:N25)</f>
        <v>178625.93</v>
      </c>
      <c r="O26" s="699"/>
      <c r="P26" s="178">
        <f>SUM(P16:P25)</f>
        <v>397870.29795291554</v>
      </c>
      <c r="Q26" s="178">
        <v>0</v>
      </c>
      <c r="R26" s="700">
        <f>SUM(R16:S25)</f>
        <v>320390.51</v>
      </c>
      <c r="S26" s="701"/>
      <c r="T26" s="39"/>
      <c r="U26" s="153"/>
      <c r="V26" s="154"/>
    </row>
    <row r="27" spans="1:20" ht="34.5" customHeight="1">
      <c r="A27" s="685" t="s">
        <v>27</v>
      </c>
      <c r="B27" s="686"/>
      <c r="C27" s="686"/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686"/>
      <c r="O27" s="686"/>
      <c r="P27" s="686"/>
      <c r="Q27" s="686"/>
      <c r="R27" s="686"/>
      <c r="S27" s="686"/>
      <c r="T27" s="687"/>
    </row>
    <row r="28" spans="1:61" s="113" customFormat="1" ht="45" customHeight="1">
      <c r="A28" s="158">
        <v>1</v>
      </c>
      <c r="B28" s="57" t="s">
        <v>52</v>
      </c>
      <c r="C28" s="590">
        <v>581</v>
      </c>
      <c r="D28" s="591"/>
      <c r="E28" s="18" t="s">
        <v>39</v>
      </c>
      <c r="F28" s="160" t="s">
        <v>76</v>
      </c>
      <c r="G28" s="160" t="s">
        <v>76</v>
      </c>
      <c r="H28" s="161" t="s">
        <v>7</v>
      </c>
      <c r="I28" s="164">
        <v>1989</v>
      </c>
      <c r="J28" s="612">
        <v>84544</v>
      </c>
      <c r="K28" s="613"/>
      <c r="L28" s="163"/>
      <c r="M28" s="585">
        <v>1973.18</v>
      </c>
      <c r="N28" s="585"/>
      <c r="O28" s="162">
        <v>0</v>
      </c>
      <c r="P28" s="162">
        <v>1973.18</v>
      </c>
      <c r="Q28" s="162">
        <f>0</f>
        <v>0</v>
      </c>
      <c r="R28" s="620">
        <f>0</f>
        <v>0</v>
      </c>
      <c r="S28" s="621"/>
      <c r="T28" s="162">
        <f>J28/C28</f>
        <v>145.5146299483649</v>
      </c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</row>
    <row r="29" spans="1:61" s="113" customFormat="1" ht="46.5" customHeight="1">
      <c r="A29" s="158">
        <v>2</v>
      </c>
      <c r="B29" s="57" t="s">
        <v>53</v>
      </c>
      <c r="C29" s="18">
        <v>405</v>
      </c>
      <c r="D29" s="160"/>
      <c r="E29" s="160" t="s">
        <v>39</v>
      </c>
      <c r="F29" s="160" t="s">
        <v>76</v>
      </c>
      <c r="G29" s="160" t="s">
        <v>76</v>
      </c>
      <c r="H29" s="160" t="s">
        <v>7</v>
      </c>
      <c r="I29" s="163">
        <v>1979</v>
      </c>
      <c r="J29" s="612">
        <v>68226</v>
      </c>
      <c r="K29" s="613"/>
      <c r="L29" s="20">
        <v>0.9</v>
      </c>
      <c r="M29" s="3">
        <f>P29</f>
        <v>2028.02</v>
      </c>
      <c r="N29" s="612">
        <v>0</v>
      </c>
      <c r="O29" s="613"/>
      <c r="P29" s="3">
        <f>'[1]Подрядный способ'!$J$5</f>
        <v>2028.02</v>
      </c>
      <c r="Q29" s="159">
        <f>0</f>
        <v>0</v>
      </c>
      <c r="R29" s="620">
        <f>0</f>
        <v>0</v>
      </c>
      <c r="S29" s="621"/>
      <c r="T29" s="3">
        <f>J29/C29</f>
        <v>168.45925925925926</v>
      </c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</row>
    <row r="30" spans="1:20" ht="27.75" customHeight="1">
      <c r="A30" s="7"/>
      <c r="B30" s="185" t="s">
        <v>118</v>
      </c>
      <c r="C30" s="345">
        <f>SUM(C28:C29)</f>
        <v>986</v>
      </c>
      <c r="D30" s="35"/>
      <c r="E30" s="35"/>
      <c r="F30" s="35"/>
      <c r="G30" s="35"/>
      <c r="H30" s="35"/>
      <c r="I30" s="214"/>
      <c r="J30" s="683">
        <f>SUM(J28:K29)</f>
        <v>152770</v>
      </c>
      <c r="K30" s="684"/>
      <c r="L30" s="38"/>
      <c r="M30" s="39">
        <f>SUM(M28:M29)</f>
        <v>4001.2</v>
      </c>
      <c r="N30" s="683">
        <f>SUM(N28:O29)</f>
        <v>0</v>
      </c>
      <c r="O30" s="684"/>
      <c r="P30" s="39">
        <f>Q30+R30+T30</f>
        <v>0</v>
      </c>
      <c r="Q30" s="165">
        <f>SUM(Q26:Q29)</f>
        <v>0</v>
      </c>
      <c r="R30" s="653">
        <f>SUM(R28:S29)</f>
        <v>0</v>
      </c>
      <c r="S30" s="688"/>
      <c r="T30" s="39"/>
    </row>
    <row r="31" spans="1:20" ht="0.75" customHeight="1">
      <c r="A31" s="655" t="s">
        <v>28</v>
      </c>
      <c r="B31" s="656"/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7"/>
    </row>
    <row r="32" spans="1:20" ht="28.5" customHeight="1">
      <c r="A32" s="348"/>
      <c r="B32" s="350"/>
      <c r="C32" s="350"/>
      <c r="D32" s="350"/>
      <c r="E32" s="350"/>
      <c r="F32" s="350"/>
      <c r="G32" s="350"/>
      <c r="H32" s="350"/>
      <c r="I32" s="350"/>
      <c r="J32" s="350"/>
      <c r="K32" s="351"/>
      <c r="L32" s="351"/>
      <c r="M32" s="351"/>
      <c r="N32" s="351"/>
      <c r="O32" s="351"/>
      <c r="P32" s="351"/>
      <c r="Q32" s="351"/>
      <c r="R32" s="351"/>
      <c r="S32" s="351"/>
      <c r="T32" s="351"/>
    </row>
    <row r="33" spans="2:20" ht="12.75">
      <c r="B33" s="352"/>
      <c r="C33" s="352"/>
      <c r="D33" s="352"/>
      <c r="E33" s="352"/>
      <c r="F33" s="352"/>
      <c r="G33" s="352"/>
      <c r="H33" s="352"/>
      <c r="I33" s="352"/>
      <c r="J33" s="352"/>
      <c r="K33" s="191"/>
      <c r="L33" s="191"/>
      <c r="M33" s="191"/>
      <c r="N33" s="191"/>
      <c r="O33" s="191"/>
      <c r="P33" s="191"/>
      <c r="Q33" s="191"/>
      <c r="R33" s="191"/>
      <c r="S33" s="191"/>
      <c r="T33" s="191"/>
    </row>
    <row r="34" spans="2:20" ht="26.25">
      <c r="B34" s="350" t="s">
        <v>96</v>
      </c>
      <c r="C34" s="350"/>
      <c r="D34" s="350"/>
      <c r="E34" s="350"/>
      <c r="F34" s="350"/>
      <c r="G34" s="350"/>
      <c r="H34" s="350" t="s">
        <v>45</v>
      </c>
      <c r="I34" s="350"/>
      <c r="J34" s="350" t="s">
        <v>45</v>
      </c>
      <c r="K34" s="350"/>
      <c r="L34" s="350"/>
      <c r="M34" s="350"/>
      <c r="N34" s="352"/>
      <c r="O34" s="352"/>
      <c r="P34" s="191"/>
      <c r="Q34" s="353"/>
      <c r="R34" s="353"/>
      <c r="S34" s="191"/>
      <c r="T34" s="354"/>
    </row>
    <row r="35" spans="10:15" ht="15.75" customHeight="1">
      <c r="J35" s="360"/>
      <c r="K35" s="174"/>
      <c r="L35" s="174"/>
      <c r="M35" s="174"/>
      <c r="N35" s="174"/>
      <c r="O35" s="174"/>
    </row>
    <row r="36" spans="2:15" ht="19.5" customHeight="1">
      <c r="B36" s="725" t="s">
        <v>40</v>
      </c>
      <c r="C36" s="725"/>
      <c r="D36" s="725"/>
      <c r="E36" s="725"/>
      <c r="F36" s="726" t="s">
        <v>45</v>
      </c>
      <c r="G36" s="726"/>
      <c r="J36" s="350" t="s">
        <v>121</v>
      </c>
      <c r="K36" s="174"/>
      <c r="L36" s="174"/>
      <c r="M36" s="174"/>
      <c r="N36" s="174"/>
      <c r="O36" s="174"/>
    </row>
    <row r="37" spans="2:15" ht="27" customHeight="1">
      <c r="B37" s="725" t="s">
        <v>50</v>
      </c>
      <c r="C37" s="725"/>
      <c r="D37" s="370"/>
      <c r="E37" s="370"/>
      <c r="F37" s="371"/>
      <c r="G37" s="371"/>
      <c r="J37" s="350" t="s">
        <v>122</v>
      </c>
      <c r="K37" s="173"/>
      <c r="L37" s="173"/>
      <c r="M37" s="173"/>
      <c r="N37" s="173"/>
      <c r="O37" s="173"/>
    </row>
    <row r="38" spans="2:15" ht="30">
      <c r="B38" s="725"/>
      <c r="C38" s="725"/>
      <c r="D38" s="357"/>
      <c r="E38" s="357"/>
      <c r="F38" s="727" t="s">
        <v>121</v>
      </c>
      <c r="G38" s="727"/>
      <c r="H38" s="174"/>
      <c r="I38" s="174"/>
      <c r="J38" s="174"/>
      <c r="K38" s="174"/>
      <c r="L38" s="174"/>
      <c r="M38" s="174"/>
      <c r="N38" s="174"/>
      <c r="O38" s="174"/>
    </row>
    <row r="39" spans="2:15" ht="12.75" customHeight="1">
      <c r="B39" s="372"/>
      <c r="C39" s="373"/>
      <c r="D39" s="357"/>
      <c r="E39" s="357"/>
      <c r="F39" s="726"/>
      <c r="G39" s="726"/>
      <c r="H39" s="174"/>
      <c r="I39" s="174"/>
      <c r="J39" s="174"/>
      <c r="K39" s="174"/>
      <c r="L39" s="174"/>
      <c r="M39" s="174"/>
      <c r="N39" s="174"/>
      <c r="O39" s="174"/>
    </row>
    <row r="40" spans="2:7" ht="30">
      <c r="B40" s="725"/>
      <c r="C40" s="725"/>
      <c r="D40" s="357"/>
      <c r="E40" s="357"/>
      <c r="F40" s="726" t="s">
        <v>119</v>
      </c>
      <c r="G40" s="726"/>
    </row>
  </sheetData>
  <mergeCells count="73">
    <mergeCell ref="A31:T31"/>
    <mergeCell ref="J30:K30"/>
    <mergeCell ref="N30:O30"/>
    <mergeCell ref="R30:S30"/>
    <mergeCell ref="A27:T27"/>
    <mergeCell ref="C28:D28"/>
    <mergeCell ref="J28:K28"/>
    <mergeCell ref="M28:N28"/>
    <mergeCell ref="R28:S28"/>
    <mergeCell ref="J29:K29"/>
    <mergeCell ref="N29:O29"/>
    <mergeCell ref="R29:S29"/>
    <mergeCell ref="R21:S21"/>
    <mergeCell ref="R22:S22"/>
    <mergeCell ref="R23:S23"/>
    <mergeCell ref="R24:S24"/>
    <mergeCell ref="R25:S25"/>
    <mergeCell ref="A26:B26"/>
    <mergeCell ref="J26:K26"/>
    <mergeCell ref="N26:O26"/>
    <mergeCell ref="R26:S26"/>
    <mergeCell ref="D19:E19"/>
    <mergeCell ref="G19:H19"/>
    <mergeCell ref="J19:K19"/>
    <mergeCell ref="N19:O19"/>
    <mergeCell ref="R19:S19"/>
    <mergeCell ref="D20:E20"/>
    <mergeCell ref="G20:H20"/>
    <mergeCell ref="J20:K20"/>
    <mergeCell ref="N20:O20"/>
    <mergeCell ref="R20:S20"/>
    <mergeCell ref="J21:K21"/>
    <mergeCell ref="N21:O21"/>
    <mergeCell ref="D18:E18"/>
    <mergeCell ref="G18:H18"/>
    <mergeCell ref="J18:K18"/>
    <mergeCell ref="N18:O18"/>
    <mergeCell ref="R18:S18"/>
    <mergeCell ref="D16:E16"/>
    <mergeCell ref="J16:K16"/>
    <mergeCell ref="N16:O16"/>
    <mergeCell ref="R16:S16"/>
    <mergeCell ref="D17:E17"/>
    <mergeCell ref="G17:H17"/>
    <mergeCell ref="J17:K17"/>
    <mergeCell ref="N17:O17"/>
    <mergeCell ref="R17:S17"/>
    <mergeCell ref="R14:S14"/>
    <mergeCell ref="A15:T15"/>
    <mergeCell ref="G11:H11"/>
    <mergeCell ref="G12:H12"/>
    <mergeCell ref="G13:H13"/>
    <mergeCell ref="A9:A13"/>
    <mergeCell ref="B9:B13"/>
    <mergeCell ref="C9:C13"/>
    <mergeCell ref="D9:E13"/>
    <mergeCell ref="F9:H10"/>
    <mergeCell ref="I9:I13"/>
    <mergeCell ref="T9:T13"/>
    <mergeCell ref="J9:J13"/>
    <mergeCell ref="B7:I7"/>
    <mergeCell ref="D14:E14"/>
    <mergeCell ref="G14:H14"/>
    <mergeCell ref="J14:K14"/>
    <mergeCell ref="N14:O14"/>
    <mergeCell ref="B40:C40"/>
    <mergeCell ref="F40:G40"/>
    <mergeCell ref="B37:C37"/>
    <mergeCell ref="B36:E36"/>
    <mergeCell ref="F36:G36"/>
    <mergeCell ref="B38:C38"/>
    <mergeCell ref="F38:G38"/>
    <mergeCell ref="F39:G39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4"/>
  <sheetViews>
    <sheetView zoomScale="69" zoomScaleNormal="69" workbookViewId="0" topLeftCell="B26">
      <selection activeCell="I30" sqref="I30:S31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1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0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6.57421875" style="10" customWidth="1"/>
    <col min="19" max="19" width="25.28125" style="10" customWidth="1"/>
    <col min="20" max="20" width="18.8515625" style="15" customWidth="1"/>
    <col min="21" max="21" width="33.140625" style="15" customWidth="1"/>
    <col min="22" max="22" width="20.28125" style="15" customWidth="1"/>
    <col min="23" max="60" width="9.140625" style="15" customWidth="1"/>
    <col min="61" max="16384" width="9.140625" style="10" customWidth="1"/>
  </cols>
  <sheetData>
    <row r="1" spans="1:256" ht="18.75">
      <c r="A1" s="2"/>
      <c r="B1" s="189" t="s">
        <v>0</v>
      </c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190"/>
      <c r="O1" s="191"/>
      <c r="P1" s="190" t="s">
        <v>33</v>
      </c>
      <c r="Q1" s="190"/>
      <c r="R1" s="2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ht="18.75">
      <c r="A2" s="2"/>
      <c r="B2" s="189" t="s">
        <v>42</v>
      </c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90"/>
      <c r="P2" s="190" t="s">
        <v>34</v>
      </c>
      <c r="Q2" s="189"/>
      <c r="R2" s="1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ht="18.75">
      <c r="A3" s="2"/>
      <c r="B3" s="189" t="s">
        <v>5</v>
      </c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89"/>
      <c r="R3" s="1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ht="18.75">
      <c r="A4" s="2"/>
      <c r="B4" s="189" t="s">
        <v>43</v>
      </c>
      <c r="C4" s="189"/>
      <c r="D4" s="189"/>
      <c r="E4" s="189"/>
      <c r="F4" s="189" t="s">
        <v>6</v>
      </c>
      <c r="G4" s="189"/>
      <c r="H4" s="189"/>
      <c r="I4" s="189"/>
      <c r="J4" s="189"/>
      <c r="K4" s="189"/>
      <c r="L4" s="189"/>
      <c r="M4" s="189"/>
      <c r="N4" s="189"/>
      <c r="O4" s="190"/>
      <c r="P4" s="190" t="s">
        <v>62</v>
      </c>
      <c r="Q4" s="189"/>
      <c r="R4" s="1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ht="18.75">
      <c r="A5" s="2"/>
      <c r="B5" s="189" t="s">
        <v>60</v>
      </c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189"/>
      <c r="O5" s="190"/>
      <c r="P5" s="189" t="s">
        <v>35</v>
      </c>
      <c r="Q5" s="189"/>
      <c r="R5" s="2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7" spans="1:16" ht="18.75" customHeight="1">
      <c r="A7" s="11"/>
      <c r="C7" s="599" t="s">
        <v>59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ht="11.25" customHeight="1">
      <c r="A8" s="11"/>
    </row>
    <row r="9" spans="1:19" ht="43.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590" t="s">
        <v>18</v>
      </c>
      <c r="J9" s="713"/>
      <c r="K9" s="713"/>
      <c r="L9" s="591"/>
      <c r="M9" s="714" t="s">
        <v>65</v>
      </c>
      <c r="N9" s="715"/>
      <c r="O9" s="590" t="s">
        <v>68</v>
      </c>
      <c r="P9" s="713"/>
      <c r="Q9" s="713"/>
      <c r="R9" s="713"/>
      <c r="S9" s="591"/>
    </row>
    <row r="10" spans="1:19" ht="18.75" customHeight="1">
      <c r="A10" s="633"/>
      <c r="B10" s="716"/>
      <c r="C10" s="721"/>
      <c r="D10" s="716"/>
      <c r="E10" s="717"/>
      <c r="F10" s="718"/>
      <c r="G10" s="724"/>
      <c r="H10" s="719"/>
      <c r="I10" s="590" t="s">
        <v>77</v>
      </c>
      <c r="J10" s="713"/>
      <c r="K10" s="713"/>
      <c r="L10" s="591"/>
      <c r="M10" s="716"/>
      <c r="N10" s="717"/>
      <c r="O10" s="710" t="s">
        <v>19</v>
      </c>
      <c r="P10" s="713"/>
      <c r="Q10" s="713"/>
      <c r="R10" s="713"/>
      <c r="S10" s="591"/>
    </row>
    <row r="11" spans="1:19" ht="18.75" customHeight="1">
      <c r="A11" s="633"/>
      <c r="B11" s="716"/>
      <c r="C11" s="721"/>
      <c r="D11" s="716"/>
      <c r="E11" s="717"/>
      <c r="F11" s="273" t="s">
        <v>20</v>
      </c>
      <c r="G11" s="590" t="s">
        <v>21</v>
      </c>
      <c r="H11" s="591"/>
      <c r="I11" s="714" t="s">
        <v>22</v>
      </c>
      <c r="J11" s="715"/>
      <c r="K11" s="273"/>
      <c r="L11" s="720" t="s">
        <v>23</v>
      </c>
      <c r="M11" s="716"/>
      <c r="N11" s="717"/>
      <c r="O11" s="711"/>
      <c r="P11" s="715" t="s">
        <v>66</v>
      </c>
      <c r="Q11" s="714" t="s">
        <v>67</v>
      </c>
      <c r="R11" s="723"/>
      <c r="S11" s="715"/>
    </row>
    <row r="12" spans="1:19" ht="18.75" customHeight="1">
      <c r="A12" s="633"/>
      <c r="B12" s="716"/>
      <c r="C12" s="721"/>
      <c r="D12" s="716"/>
      <c r="E12" s="717"/>
      <c r="F12" s="273" t="s">
        <v>69</v>
      </c>
      <c r="G12" s="590" t="s">
        <v>69</v>
      </c>
      <c r="H12" s="591"/>
      <c r="I12" s="716"/>
      <c r="J12" s="717"/>
      <c r="K12" s="273"/>
      <c r="L12" s="721"/>
      <c r="M12" s="716"/>
      <c r="N12" s="717"/>
      <c r="O12" s="711"/>
      <c r="P12" s="717"/>
      <c r="Q12" s="718"/>
      <c r="R12" s="724"/>
      <c r="S12" s="719"/>
    </row>
    <row r="13" spans="1:19" ht="95.25" customHeight="1">
      <c r="A13" s="634"/>
      <c r="B13" s="718"/>
      <c r="C13" s="722"/>
      <c r="D13" s="718"/>
      <c r="E13" s="719"/>
      <c r="F13" s="273" t="s">
        <v>63</v>
      </c>
      <c r="G13" s="590" t="s">
        <v>64</v>
      </c>
      <c r="H13" s="591"/>
      <c r="I13" s="718"/>
      <c r="J13" s="719"/>
      <c r="K13" s="273"/>
      <c r="L13" s="722"/>
      <c r="M13" s="718"/>
      <c r="N13" s="719"/>
      <c r="O13" s="712"/>
      <c r="P13" s="719"/>
      <c r="Q13" s="590" t="s">
        <v>24</v>
      </c>
      <c r="R13" s="591"/>
      <c r="S13" s="273" t="s">
        <v>25</v>
      </c>
    </row>
    <row r="14" spans="1:19" ht="18.75">
      <c r="A14" s="13">
        <v>1</v>
      </c>
      <c r="B14" s="285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708">
        <v>7</v>
      </c>
      <c r="J14" s="709"/>
      <c r="K14" s="158"/>
      <c r="L14" s="158">
        <v>8</v>
      </c>
      <c r="M14" s="708">
        <v>9</v>
      </c>
      <c r="N14" s="709"/>
      <c r="O14" s="192">
        <v>10</v>
      </c>
      <c r="P14" s="286">
        <v>11</v>
      </c>
      <c r="Q14" s="708">
        <v>12</v>
      </c>
      <c r="R14" s="709"/>
      <c r="S14" s="285">
        <v>13</v>
      </c>
    </row>
    <row r="15" spans="1:19" ht="23.25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6"/>
    </row>
    <row r="16" spans="1:19" ht="65.25" customHeight="1">
      <c r="A16" s="16">
        <v>1</v>
      </c>
      <c r="B16" s="284" t="s">
        <v>48</v>
      </c>
      <c r="C16" s="18">
        <v>567</v>
      </c>
      <c r="D16" s="618">
        <v>567</v>
      </c>
      <c r="E16" s="619"/>
      <c r="F16" s="274" t="s">
        <v>76</v>
      </c>
      <c r="G16" s="274"/>
      <c r="H16" s="274" t="s">
        <v>75</v>
      </c>
      <c r="I16" s="612">
        <v>71245.2</v>
      </c>
      <c r="J16" s="613"/>
      <c r="K16" s="93">
        <v>0.9</v>
      </c>
      <c r="L16" s="3">
        <v>64800</v>
      </c>
      <c r="M16" s="627">
        <v>64742.8</v>
      </c>
      <c r="N16" s="628"/>
      <c r="O16" s="42">
        <f>Q16+S16</f>
        <v>6502.4</v>
      </c>
      <c r="P16" s="263">
        <f>0</f>
        <v>0</v>
      </c>
      <c r="Q16" s="620">
        <f>0</f>
        <v>0</v>
      </c>
      <c r="R16" s="621"/>
      <c r="S16" s="3">
        <v>6502.4</v>
      </c>
    </row>
    <row r="17" spans="1:19" ht="66.75" customHeight="1">
      <c r="A17" s="16">
        <v>2</v>
      </c>
      <c r="B17" s="22" t="s">
        <v>44</v>
      </c>
      <c r="C17" s="18">
        <v>377</v>
      </c>
      <c r="D17" s="618">
        <v>377</v>
      </c>
      <c r="E17" s="619"/>
      <c r="F17" s="274" t="s">
        <v>76</v>
      </c>
      <c r="G17" s="606" t="s">
        <v>11</v>
      </c>
      <c r="H17" s="607"/>
      <c r="I17" s="612">
        <v>106395</v>
      </c>
      <c r="J17" s="613"/>
      <c r="K17" s="94">
        <v>0.9</v>
      </c>
      <c r="L17" s="275">
        <v>90679.51</v>
      </c>
      <c r="M17" s="620">
        <v>3484.21</v>
      </c>
      <c r="N17" s="621"/>
      <c r="O17" s="52">
        <f>Q17+S17</f>
        <v>92679.51</v>
      </c>
      <c r="P17" s="263">
        <f>0</f>
        <v>0</v>
      </c>
      <c r="Q17" s="612">
        <v>72000</v>
      </c>
      <c r="R17" s="613"/>
      <c r="S17" s="3">
        <v>20679.51</v>
      </c>
    </row>
    <row r="18" spans="1:19" ht="44.25" customHeight="1">
      <c r="A18" s="16">
        <v>3</v>
      </c>
      <c r="B18" s="284" t="s">
        <v>30</v>
      </c>
      <c r="C18" s="18">
        <v>502</v>
      </c>
      <c r="D18" s="618">
        <v>502</v>
      </c>
      <c r="E18" s="619"/>
      <c r="F18" s="274" t="s">
        <v>76</v>
      </c>
      <c r="G18" s="606" t="s">
        <v>11</v>
      </c>
      <c r="H18" s="607"/>
      <c r="I18" s="612">
        <v>110501.12</v>
      </c>
      <c r="J18" s="613"/>
      <c r="K18" s="94">
        <v>0.9</v>
      </c>
      <c r="L18" s="275">
        <v>82800</v>
      </c>
      <c r="M18" s="620">
        <f>5555.65+15059.6</f>
        <v>20615.25</v>
      </c>
      <c r="N18" s="621"/>
      <c r="O18" s="42">
        <f>Q18+S18</f>
        <v>72335</v>
      </c>
      <c r="P18" s="263">
        <f>0</f>
        <v>0</v>
      </c>
      <c r="Q18" s="612">
        <v>43335</v>
      </c>
      <c r="R18" s="613"/>
      <c r="S18" s="3">
        <v>29000</v>
      </c>
    </row>
    <row r="19" spans="1:19" ht="54" customHeight="1">
      <c r="A19" s="16">
        <v>4</v>
      </c>
      <c r="B19" s="22" t="s">
        <v>37</v>
      </c>
      <c r="C19" s="18">
        <v>1064</v>
      </c>
      <c r="D19" s="618">
        <v>1064</v>
      </c>
      <c r="E19" s="619"/>
      <c r="F19" s="274" t="s">
        <v>76</v>
      </c>
      <c r="G19" s="606" t="s">
        <v>12</v>
      </c>
      <c r="H19" s="607"/>
      <c r="I19" s="612">
        <v>99278</v>
      </c>
      <c r="J19" s="613"/>
      <c r="K19" s="94">
        <v>0.9</v>
      </c>
      <c r="L19" s="275">
        <f>I19-(I19*0.9%)</f>
        <v>98384.498</v>
      </c>
      <c r="M19" s="620">
        <v>19541</v>
      </c>
      <c r="N19" s="621"/>
      <c r="O19" s="52">
        <f>Q19+S19</f>
        <v>51137.880000000005</v>
      </c>
      <c r="P19" s="263">
        <f>0</f>
        <v>0</v>
      </c>
      <c r="Q19" s="612">
        <v>40298.87</v>
      </c>
      <c r="R19" s="613"/>
      <c r="S19" s="3">
        <f>(3000+39850.2)-14839.89-19541+2369.7</f>
        <v>10839.009999999998</v>
      </c>
    </row>
    <row r="20" spans="1:20" ht="39" customHeight="1">
      <c r="A20" s="82">
        <v>5</v>
      </c>
      <c r="B20" s="53" t="s">
        <v>38</v>
      </c>
      <c r="C20" s="83">
        <v>1329</v>
      </c>
      <c r="D20" s="658">
        <v>1329</v>
      </c>
      <c r="E20" s="659"/>
      <c r="F20" s="288" t="s">
        <v>76</v>
      </c>
      <c r="G20" s="714" t="s">
        <v>11</v>
      </c>
      <c r="H20" s="715"/>
      <c r="I20" s="612">
        <v>167041.6</v>
      </c>
      <c r="J20" s="613"/>
      <c r="K20" s="100">
        <v>0.9</v>
      </c>
      <c r="L20" s="289">
        <v>118049.25</v>
      </c>
      <c r="M20" s="614">
        <f>46.05+7000+143.54+167.29+125+7500</f>
        <v>14981.880000000001</v>
      </c>
      <c r="N20" s="615"/>
      <c r="O20" s="289">
        <f>Q20+S20</f>
        <v>103000</v>
      </c>
      <c r="P20" s="287">
        <f>0</f>
        <v>0</v>
      </c>
      <c r="Q20" s="612">
        <f>72163-15000</f>
        <v>57163</v>
      </c>
      <c r="R20" s="613"/>
      <c r="S20" s="3">
        <v>45837</v>
      </c>
      <c r="T20" s="251"/>
    </row>
    <row r="21" spans="1:61" s="89" customFormat="1" ht="60" customHeight="1">
      <c r="A21" s="16">
        <v>6</v>
      </c>
      <c r="B21" s="284" t="s">
        <v>56</v>
      </c>
      <c r="C21" s="18">
        <v>549</v>
      </c>
      <c r="D21" s="273"/>
      <c r="E21" s="18">
        <f>C21</f>
        <v>549</v>
      </c>
      <c r="F21" s="273" t="s">
        <v>76</v>
      </c>
      <c r="G21" s="273"/>
      <c r="H21" s="273" t="s">
        <v>11</v>
      </c>
      <c r="I21" s="612">
        <v>104103</v>
      </c>
      <c r="J21" s="613"/>
      <c r="K21" s="93">
        <v>0.9</v>
      </c>
      <c r="L21" s="316">
        <v>93692.7</v>
      </c>
      <c r="M21" s="612">
        <f>40350.59+14910.2</f>
        <v>55260.78999999999</v>
      </c>
      <c r="N21" s="613"/>
      <c r="O21" s="3">
        <f>P21+Q21+S21</f>
        <v>35000</v>
      </c>
      <c r="P21" s="263">
        <f>0</f>
        <v>0</v>
      </c>
      <c r="Q21" s="612">
        <f>0</f>
        <v>0</v>
      </c>
      <c r="R21" s="613"/>
      <c r="S21" s="3">
        <v>35000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48"/>
    </row>
    <row r="22" spans="1:19" s="15" customFormat="1" ht="40.5" customHeight="1">
      <c r="A22" s="16">
        <v>7</v>
      </c>
      <c r="B22" s="57" t="s">
        <v>10</v>
      </c>
      <c r="C22" s="18">
        <v>1717</v>
      </c>
      <c r="D22" s="306"/>
      <c r="E22" s="18">
        <f>C22</f>
        <v>1717</v>
      </c>
      <c r="F22" s="306" t="s">
        <v>11</v>
      </c>
      <c r="G22" s="306"/>
      <c r="H22" s="306" t="s">
        <v>7</v>
      </c>
      <c r="I22" s="311">
        <v>170000</v>
      </c>
      <c r="J22" s="312">
        <f>SUM(I22)</f>
        <v>170000</v>
      </c>
      <c r="K22" s="20">
        <v>0.9</v>
      </c>
      <c r="L22" s="310">
        <f>O22</f>
        <v>166215.82</v>
      </c>
      <c r="M22" s="91"/>
      <c r="N22" s="304">
        <v>0</v>
      </c>
      <c r="O22" s="3">
        <f>Q22+S22</f>
        <v>166215.82</v>
      </c>
      <c r="P22" s="305">
        <f>0</f>
        <v>0</v>
      </c>
      <c r="Q22" s="612">
        <f>37800+10349.82-19000</f>
        <v>29149.82</v>
      </c>
      <c r="R22" s="613"/>
      <c r="S22" s="3">
        <f>87066-10000+60000</f>
        <v>137066</v>
      </c>
    </row>
    <row r="23" spans="1:19" s="15" customFormat="1" ht="38.25" customHeight="1">
      <c r="A23" s="16">
        <v>8</v>
      </c>
      <c r="B23" s="57" t="s">
        <v>79</v>
      </c>
      <c r="C23" s="18">
        <v>711.8</v>
      </c>
      <c r="D23" s="306"/>
      <c r="E23" s="18">
        <f>C23</f>
        <v>711.8</v>
      </c>
      <c r="F23" s="306" t="s">
        <v>12</v>
      </c>
      <c r="G23" s="306" t="s">
        <v>9</v>
      </c>
      <c r="H23" s="306" t="s">
        <v>9</v>
      </c>
      <c r="I23" s="303">
        <v>103300</v>
      </c>
      <c r="J23" s="304">
        <f>SUM(I23)</f>
        <v>103300</v>
      </c>
      <c r="K23" s="20">
        <v>0.9</v>
      </c>
      <c r="L23" s="307">
        <f>I23-(I23*0.9%)</f>
        <v>102370.3</v>
      </c>
      <c r="M23" s="91"/>
      <c r="N23" s="304">
        <v>0</v>
      </c>
      <c r="O23" s="3">
        <f>Q23+S23</f>
        <v>86077.3</v>
      </c>
      <c r="P23" s="305">
        <f>0</f>
        <v>0</v>
      </c>
      <c r="Q23" s="612">
        <f>23000+19000+15536.08-20000-6203</f>
        <v>31333.08</v>
      </c>
      <c r="R23" s="613"/>
      <c r="S23" s="3">
        <f>80000-3255.78-22000</f>
        <v>54744.22</v>
      </c>
    </row>
    <row r="24" spans="1:19" s="15" customFormat="1" ht="55.5" customHeight="1">
      <c r="A24" s="16">
        <v>9</v>
      </c>
      <c r="B24" s="58" t="s">
        <v>82</v>
      </c>
      <c r="C24" s="18">
        <v>610</v>
      </c>
      <c r="D24" s="306"/>
      <c r="E24" s="18">
        <f>C24</f>
        <v>610</v>
      </c>
      <c r="F24" s="306" t="s">
        <v>12</v>
      </c>
      <c r="G24" s="306" t="s">
        <v>9</v>
      </c>
      <c r="H24" s="306" t="s">
        <v>9</v>
      </c>
      <c r="I24" s="303">
        <f>L24*1.1</f>
        <v>97726.20000000001</v>
      </c>
      <c r="J24" s="304">
        <f>SUM(I24)</f>
        <v>97726.20000000001</v>
      </c>
      <c r="K24" s="20">
        <v>0.9</v>
      </c>
      <c r="L24" s="3">
        <f>O24</f>
        <v>88842</v>
      </c>
      <c r="M24" s="91"/>
      <c r="N24" s="304">
        <v>0</v>
      </c>
      <c r="O24" s="3">
        <f>Q24+S24</f>
        <v>88842</v>
      </c>
      <c r="P24" s="305">
        <f>0</f>
        <v>0</v>
      </c>
      <c r="Q24" s="612">
        <f>19000+10000+2609.49-20000+23978.71-8126.2-6203</f>
        <v>21258.999999999996</v>
      </c>
      <c r="R24" s="613"/>
      <c r="S24" s="3">
        <v>67583</v>
      </c>
    </row>
    <row r="25" spans="1:19" s="15" customFormat="1" ht="53.25" customHeight="1">
      <c r="A25" s="16">
        <v>10</v>
      </c>
      <c r="B25" s="57" t="s">
        <v>58</v>
      </c>
      <c r="C25" s="18">
        <v>601</v>
      </c>
      <c r="D25" s="306"/>
      <c r="E25" s="18">
        <f>C25</f>
        <v>601</v>
      </c>
      <c r="F25" s="306" t="s">
        <v>8</v>
      </c>
      <c r="G25" s="306"/>
      <c r="H25" s="306" t="s">
        <v>13</v>
      </c>
      <c r="I25" s="315">
        <v>95000</v>
      </c>
      <c r="J25" s="304">
        <f>SUM(I25)</f>
        <v>95000</v>
      </c>
      <c r="K25" s="20">
        <v>0.9</v>
      </c>
      <c r="L25" s="3">
        <f>O25</f>
        <v>93435.40000000001</v>
      </c>
      <c r="M25" s="91"/>
      <c r="N25" s="304">
        <v>0</v>
      </c>
      <c r="O25" s="3">
        <f>Q25+S25</f>
        <v>93435.40000000001</v>
      </c>
      <c r="P25" s="305">
        <f>0</f>
        <v>0</v>
      </c>
      <c r="Q25" s="612">
        <f>22000+38000-944.77-27000-6203-0.49</f>
        <v>25851.74</v>
      </c>
      <c r="R25" s="613"/>
      <c r="S25" s="3">
        <f>47005-578.66+1157.32+20000</f>
        <v>67583.66</v>
      </c>
    </row>
    <row r="26" spans="1:21" ht="42" customHeight="1">
      <c r="A26" s="689"/>
      <c r="B26" s="690"/>
      <c r="C26" s="175">
        <f>SUM(C16:C25)</f>
        <v>8027.8</v>
      </c>
      <c r="D26" s="175">
        <f>SUM(D16:D25)</f>
        <v>3839</v>
      </c>
      <c r="E26" s="175">
        <v>8027.8</v>
      </c>
      <c r="F26" s="176"/>
      <c r="G26" s="176"/>
      <c r="H26" s="176"/>
      <c r="I26" s="683">
        <f>SUM(I16:I25)</f>
        <v>1124590.12</v>
      </c>
      <c r="J26" s="684"/>
      <c r="K26" s="177"/>
      <c r="L26" s="178">
        <f>SUM(L16:L25)</f>
        <v>999269.478</v>
      </c>
      <c r="M26" s="698">
        <f>SUM(M16:M25)</f>
        <v>178625.93</v>
      </c>
      <c r="N26" s="699"/>
      <c r="O26" s="178">
        <f>SUM(O16:O25)</f>
        <v>795225.31</v>
      </c>
      <c r="P26" s="178">
        <v>0</v>
      </c>
      <c r="Q26" s="700">
        <f>SUM(Q16:R25)</f>
        <v>320390.51</v>
      </c>
      <c r="R26" s="701"/>
      <c r="S26" s="39">
        <f>SUM(S16:S25)</f>
        <v>474834.80000000005</v>
      </c>
      <c r="T26" s="252"/>
      <c r="U26" s="154">
        <f>Q26-400000</f>
        <v>-79609.48999999999</v>
      </c>
    </row>
    <row r="27" spans="1:19" ht="51.75" customHeight="1" hidden="1">
      <c r="A27" s="16"/>
      <c r="B27" s="57" t="s">
        <v>46</v>
      </c>
      <c r="C27" s="694"/>
      <c r="D27" s="695"/>
      <c r="E27" s="155"/>
      <c r="F27" s="694"/>
      <c r="G27" s="695"/>
      <c r="H27" s="16"/>
      <c r="I27" s="694"/>
      <c r="J27" s="695"/>
      <c r="K27" s="16"/>
      <c r="L27" s="694"/>
      <c r="M27" s="695"/>
      <c r="N27" s="16"/>
      <c r="O27" s="156"/>
      <c r="P27" s="13"/>
      <c r="Q27" s="696"/>
      <c r="R27" s="695"/>
      <c r="S27" s="289"/>
    </row>
    <row r="28" spans="1:20" ht="26.25" customHeight="1" hidden="1">
      <c r="A28" s="16"/>
      <c r="B28" s="56" t="s">
        <v>84</v>
      </c>
      <c r="C28" s="16"/>
      <c r="D28" s="16"/>
      <c r="E28" s="155"/>
      <c r="F28" s="16"/>
      <c r="G28" s="16"/>
      <c r="H28" s="16"/>
      <c r="I28" s="16"/>
      <c r="J28" s="16"/>
      <c r="K28" s="16"/>
      <c r="L28" s="16"/>
      <c r="M28" s="16"/>
      <c r="N28" s="16"/>
      <c r="O28" s="156"/>
      <c r="P28" s="13"/>
      <c r="Q28" s="697"/>
      <c r="R28" s="697"/>
      <c r="S28" s="289">
        <v>258297.66</v>
      </c>
      <c r="T28" s="238"/>
    </row>
    <row r="29" spans="1:21" ht="26.25" customHeight="1">
      <c r="A29" s="16"/>
      <c r="B29" s="594" t="s">
        <v>104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  <c r="U29" s="242"/>
    </row>
    <row r="30" spans="1:19" ht="65.25" customHeight="1">
      <c r="A30" s="16">
        <v>1</v>
      </c>
      <c r="B30" s="57" t="s">
        <v>88</v>
      </c>
      <c r="C30" s="18">
        <v>717</v>
      </c>
      <c r="D30" s="269"/>
      <c r="E30" s="260"/>
      <c r="F30" s="273"/>
      <c r="G30" s="273"/>
      <c r="H30" s="273"/>
      <c r="I30" s="612">
        <v>113514</v>
      </c>
      <c r="J30" s="613"/>
      <c r="K30" s="3">
        <v>0.9</v>
      </c>
      <c r="L30" s="275">
        <f>M30+O30</f>
        <v>80869.57</v>
      </c>
      <c r="M30" s="620">
        <v>30355.2</v>
      </c>
      <c r="N30" s="621"/>
      <c r="O30" s="275">
        <f>Q30+S30</f>
        <v>50514.37</v>
      </c>
      <c r="P30" s="263">
        <f>0</f>
        <v>0</v>
      </c>
      <c r="Q30" s="612">
        <v>50514.37</v>
      </c>
      <c r="R30" s="613"/>
      <c r="S30" s="3">
        <v>0</v>
      </c>
    </row>
    <row r="31" spans="1:19" ht="57.75" customHeight="1">
      <c r="A31" s="16">
        <v>2</v>
      </c>
      <c r="B31" s="57" t="s">
        <v>89</v>
      </c>
      <c r="C31" s="18">
        <v>959.7</v>
      </c>
      <c r="D31" s="273"/>
      <c r="E31" s="18"/>
      <c r="F31" s="273"/>
      <c r="G31" s="273"/>
      <c r="H31" s="273"/>
      <c r="I31" s="261">
        <v>74778</v>
      </c>
      <c r="J31" s="262">
        <f>SUM(I31)</f>
        <v>74778</v>
      </c>
      <c r="K31" s="20"/>
      <c r="L31" s="3">
        <v>64634.74</v>
      </c>
      <c r="M31" s="91"/>
      <c r="N31" s="290">
        <v>28220</v>
      </c>
      <c r="O31" s="275">
        <f>Q31+S31</f>
        <v>29095.12</v>
      </c>
      <c r="P31" s="263">
        <f>0</f>
        <v>0</v>
      </c>
      <c r="Q31" s="612">
        <v>29095.12</v>
      </c>
      <c r="R31" s="613"/>
      <c r="S31" s="3">
        <v>0</v>
      </c>
    </row>
    <row r="32" spans="1:19" ht="26.25" customHeight="1">
      <c r="A32" s="689" t="s">
        <v>94</v>
      </c>
      <c r="B32" s="690"/>
      <c r="C32" s="313">
        <f>C26+C30+C31</f>
        <v>9704.5</v>
      </c>
      <c r="D32" s="180">
        <f>D26+D30+D31</f>
        <v>3839</v>
      </c>
      <c r="E32" s="180"/>
      <c r="F32" s="179"/>
      <c r="G32" s="179"/>
      <c r="H32" s="179"/>
      <c r="I32" s="181">
        <f aca="true" t="shared" si="0" ref="I32:O32">I26+I30+I31</f>
        <v>1312882.12</v>
      </c>
      <c r="J32" s="181">
        <f t="shared" si="0"/>
        <v>74778</v>
      </c>
      <c r="K32" s="181">
        <f t="shared" si="0"/>
        <v>0.9</v>
      </c>
      <c r="L32" s="181">
        <f t="shared" si="0"/>
        <v>1144773.788</v>
      </c>
      <c r="M32" s="181">
        <f t="shared" si="0"/>
        <v>208981.13</v>
      </c>
      <c r="N32" s="181">
        <f t="shared" si="0"/>
        <v>28220</v>
      </c>
      <c r="O32" s="181">
        <f t="shared" si="0"/>
        <v>874834.8</v>
      </c>
      <c r="P32" s="184">
        <f>SUM(P30:P31)</f>
        <v>0</v>
      </c>
      <c r="Q32" s="691">
        <f>Q26+Q30+Q31</f>
        <v>400000</v>
      </c>
      <c r="R32" s="692"/>
      <c r="S32" s="24">
        <f>S26</f>
        <v>474834.80000000005</v>
      </c>
    </row>
    <row r="33" spans="1:19" ht="26.25" customHeight="1" hidden="1">
      <c r="A33" s="284"/>
      <c r="B33" s="59"/>
      <c r="C33" s="168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168"/>
      <c r="O33" s="170"/>
      <c r="P33" s="171"/>
      <c r="Q33" s="693">
        <v>400000</v>
      </c>
      <c r="R33" s="693"/>
      <c r="S33" s="263"/>
    </row>
    <row r="34" spans="1:19" ht="26.25" customHeight="1" hidden="1">
      <c r="A34" s="284"/>
      <c r="B34" s="59"/>
      <c r="C34" s="168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168"/>
      <c r="O34" s="170"/>
      <c r="P34" s="171"/>
      <c r="Q34" s="693">
        <f>Q26+Q30+Q31</f>
        <v>400000</v>
      </c>
      <c r="R34" s="693"/>
      <c r="S34" s="263"/>
    </row>
    <row r="35" spans="1:19" ht="41.25" customHeight="1">
      <c r="A35" s="685" t="s">
        <v>27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</row>
    <row r="36" spans="1:60" s="113" customFormat="1" ht="80.25" customHeight="1">
      <c r="A36" s="16">
        <v>1</v>
      </c>
      <c r="B36" s="284" t="s">
        <v>52</v>
      </c>
      <c r="C36" s="590">
        <v>581</v>
      </c>
      <c r="D36" s="591"/>
      <c r="E36" s="18" t="s">
        <v>39</v>
      </c>
      <c r="F36" s="273" t="s">
        <v>76</v>
      </c>
      <c r="G36" s="273" t="s">
        <v>76</v>
      </c>
      <c r="H36" s="274" t="s">
        <v>7</v>
      </c>
      <c r="I36" s="612">
        <f>L36*1.1</f>
        <v>47376.681000000004</v>
      </c>
      <c r="J36" s="613"/>
      <c r="K36" s="315"/>
      <c r="L36" s="612">
        <v>43069.71</v>
      </c>
      <c r="M36" s="613"/>
      <c r="N36" s="289">
        <v>0</v>
      </c>
      <c r="O36" s="275">
        <v>1973.18</v>
      </c>
      <c r="P36" s="275">
        <f>0</f>
        <v>0</v>
      </c>
      <c r="Q36" s="620">
        <f>0</f>
        <v>0</v>
      </c>
      <c r="R36" s="621"/>
      <c r="S36" s="275">
        <v>1973.18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s="113" customFormat="1" ht="78" customHeight="1">
      <c r="A37" s="16">
        <v>2</v>
      </c>
      <c r="B37" s="284" t="s">
        <v>53</v>
      </c>
      <c r="C37" s="18">
        <v>405</v>
      </c>
      <c r="D37" s="273"/>
      <c r="E37" s="273" t="s">
        <v>39</v>
      </c>
      <c r="F37" s="273" t="s">
        <v>76</v>
      </c>
      <c r="G37" s="273" t="s">
        <v>76</v>
      </c>
      <c r="H37" s="273" t="s">
        <v>7</v>
      </c>
      <c r="I37" s="612">
        <f>L37*1.1</f>
        <v>63939.73300000001</v>
      </c>
      <c r="J37" s="613"/>
      <c r="K37" s="20">
        <v>0.9</v>
      </c>
      <c r="L37" s="3">
        <v>58127.03</v>
      </c>
      <c r="M37" s="612">
        <v>0</v>
      </c>
      <c r="N37" s="613"/>
      <c r="O37" s="3">
        <f>'[1]Подрядный способ'!$J$5</f>
        <v>2028.02</v>
      </c>
      <c r="P37" s="263">
        <f>0</f>
        <v>0</v>
      </c>
      <c r="Q37" s="620">
        <f>0</f>
        <v>0</v>
      </c>
      <c r="R37" s="621"/>
      <c r="S37" s="3">
        <f>O37</f>
        <v>2028.02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s="113" customFormat="1" ht="65.25" customHeight="1">
      <c r="A38" s="16">
        <v>3</v>
      </c>
      <c r="B38" s="284" t="s">
        <v>54</v>
      </c>
      <c r="C38" s="18">
        <v>903</v>
      </c>
      <c r="D38" s="590" t="s">
        <v>39</v>
      </c>
      <c r="E38" s="591"/>
      <c r="F38" s="273" t="s">
        <v>76</v>
      </c>
      <c r="G38" s="590" t="s">
        <v>13</v>
      </c>
      <c r="H38" s="591"/>
      <c r="I38" s="612">
        <f>L38*1.1</f>
        <v>76774.89600000001</v>
      </c>
      <c r="J38" s="613"/>
      <c r="K38" s="20">
        <v>0.9</v>
      </c>
      <c r="L38" s="3">
        <v>69795.36</v>
      </c>
      <c r="M38" s="612">
        <v>0</v>
      </c>
      <c r="N38" s="613"/>
      <c r="O38" s="3">
        <f>'[1]Подрядный способ'!$J$6</f>
        <v>2327.06</v>
      </c>
      <c r="P38" s="263">
        <f>0</f>
        <v>0</v>
      </c>
      <c r="Q38" s="620">
        <f>0</f>
        <v>0</v>
      </c>
      <c r="R38" s="621"/>
      <c r="S38" s="3">
        <f>O38</f>
        <v>2327.06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19" ht="38.25" customHeight="1">
      <c r="A39" s="4"/>
      <c r="B39" s="185" t="s">
        <v>92</v>
      </c>
      <c r="C39" s="34"/>
      <c r="D39" s="35"/>
      <c r="E39" s="35"/>
      <c r="F39" s="35"/>
      <c r="G39" s="35"/>
      <c r="H39" s="35"/>
      <c r="I39" s="683">
        <f>SUM(I36:J38)</f>
        <v>188091.31000000003</v>
      </c>
      <c r="J39" s="684"/>
      <c r="K39" s="38"/>
      <c r="L39" s="39">
        <f>SUM(L36:L38)</f>
        <v>170992.09999999998</v>
      </c>
      <c r="M39" s="683">
        <f>SUM(M36:N38)</f>
        <v>0</v>
      </c>
      <c r="N39" s="684"/>
      <c r="O39" s="39">
        <f>P39+Q39+S39</f>
        <v>6328.26</v>
      </c>
      <c r="P39" s="272">
        <f>SUM(P26:P38)</f>
        <v>0</v>
      </c>
      <c r="Q39" s="653">
        <f>SUM(Q36:R38)</f>
        <v>0</v>
      </c>
      <c r="R39" s="688"/>
      <c r="S39" s="39">
        <f>SUM(S36:S38)</f>
        <v>6328.26</v>
      </c>
    </row>
    <row r="40" spans="1:19" ht="42" customHeight="1" hidden="1">
      <c r="A40" s="4"/>
      <c r="B40" s="6" t="s">
        <v>46</v>
      </c>
      <c r="C40" s="34"/>
      <c r="D40" s="35"/>
      <c r="E40" s="35"/>
      <c r="F40" s="35"/>
      <c r="G40" s="35"/>
      <c r="H40" s="35"/>
      <c r="I40" s="261"/>
      <c r="J40" s="270"/>
      <c r="K40" s="253"/>
      <c r="L40" s="3"/>
      <c r="M40" s="281"/>
      <c r="N40" s="290"/>
      <c r="O40" s="39"/>
      <c r="P40" s="272"/>
      <c r="Q40" s="271"/>
      <c r="R40" s="283"/>
      <c r="S40" s="39">
        <f>S39</f>
        <v>6328.26</v>
      </c>
    </row>
    <row r="41" spans="1:19" ht="0.75" customHeight="1" hidden="1">
      <c r="A41" s="655" t="s">
        <v>28</v>
      </c>
      <c r="B41" s="656"/>
      <c r="C41" s="656"/>
      <c r="D41" s="656"/>
      <c r="E41" s="656"/>
      <c r="F41" s="656"/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7"/>
    </row>
    <row r="42" spans="1:60" s="45" customFormat="1" ht="75.75" customHeight="1" hidden="1">
      <c r="A42" s="8" t="s">
        <v>41</v>
      </c>
      <c r="B42" s="265" t="s">
        <v>41</v>
      </c>
      <c r="C42" s="46" t="s">
        <v>41</v>
      </c>
      <c r="D42" s="8"/>
      <c r="E42" s="8" t="s">
        <v>41</v>
      </c>
      <c r="F42" s="8" t="s">
        <v>41</v>
      </c>
      <c r="G42" s="8"/>
      <c r="H42" s="8" t="s">
        <v>41</v>
      </c>
      <c r="I42" s="261" t="s">
        <v>41</v>
      </c>
      <c r="J42" s="270"/>
      <c r="K42" s="270"/>
      <c r="L42" s="3" t="s">
        <v>41</v>
      </c>
      <c r="M42" s="264"/>
      <c r="N42" s="290" t="s">
        <v>41</v>
      </c>
      <c r="O42" s="42" t="s">
        <v>41</v>
      </c>
      <c r="P42" s="280" t="s">
        <v>41</v>
      </c>
      <c r="Q42" s="279" t="s">
        <v>41</v>
      </c>
      <c r="R42" s="266"/>
      <c r="S42" s="264" t="s">
        <v>41</v>
      </c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s="45" customFormat="1" ht="33.7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19" ht="46.5" customHeight="1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24.75" customHeight="1">
      <c r="A45" s="594" t="s">
        <v>51</v>
      </c>
      <c r="B45" s="595"/>
      <c r="C45" s="595"/>
      <c r="D45" s="595"/>
      <c r="E45" s="595"/>
      <c r="F45" s="595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95"/>
      <c r="R45" s="595"/>
      <c r="S45" s="596"/>
    </row>
    <row r="46" spans="1:19" ht="60.75" customHeight="1">
      <c r="A46" s="16" t="s">
        <v>71</v>
      </c>
      <c r="B46" s="61" t="s">
        <v>10</v>
      </c>
      <c r="C46" s="142">
        <v>1717</v>
      </c>
      <c r="D46" s="274"/>
      <c r="E46" s="142"/>
      <c r="F46" s="606" t="s">
        <v>74</v>
      </c>
      <c r="G46" s="607"/>
      <c r="H46" s="274" t="s">
        <v>75</v>
      </c>
      <c r="I46" s="590"/>
      <c r="J46" s="591"/>
      <c r="K46" s="269"/>
      <c r="L46" s="590"/>
      <c r="M46" s="591"/>
      <c r="N46" s="289">
        <v>0</v>
      </c>
      <c r="O46" s="275">
        <v>12000</v>
      </c>
      <c r="P46" s="275">
        <v>0</v>
      </c>
      <c r="Q46" s="620">
        <v>0</v>
      </c>
      <c r="R46" s="621"/>
      <c r="S46" s="275">
        <f>O46</f>
        <v>12000</v>
      </c>
    </row>
    <row r="47" spans="1:19" ht="63.75" customHeight="1">
      <c r="A47" s="16">
        <v>2</v>
      </c>
      <c r="B47" s="61" t="s">
        <v>55</v>
      </c>
      <c r="C47" s="142">
        <v>1206</v>
      </c>
      <c r="D47" s="274"/>
      <c r="E47" s="142"/>
      <c r="F47" s="606" t="s">
        <v>12</v>
      </c>
      <c r="G47" s="607"/>
      <c r="H47" s="274" t="s">
        <v>7</v>
      </c>
      <c r="I47" s="590"/>
      <c r="J47" s="591"/>
      <c r="K47" s="273"/>
      <c r="L47" s="590"/>
      <c r="M47" s="591"/>
      <c r="N47" s="289">
        <v>0</v>
      </c>
      <c r="O47" s="275">
        <v>12000</v>
      </c>
      <c r="P47" s="275">
        <f>0</f>
        <v>0</v>
      </c>
      <c r="Q47" s="620">
        <f>0</f>
        <v>0</v>
      </c>
      <c r="R47" s="621"/>
      <c r="S47" s="275">
        <v>10000</v>
      </c>
    </row>
    <row r="48" spans="1:19" ht="62.25" customHeight="1">
      <c r="A48" s="16">
        <v>3</v>
      </c>
      <c r="B48" s="56" t="s">
        <v>83</v>
      </c>
      <c r="C48" s="142">
        <v>514</v>
      </c>
      <c r="D48" s="274"/>
      <c r="E48" s="142"/>
      <c r="F48" s="606" t="s">
        <v>86</v>
      </c>
      <c r="G48" s="607"/>
      <c r="H48" s="274" t="s">
        <v>13</v>
      </c>
      <c r="I48" s="590"/>
      <c r="J48" s="591"/>
      <c r="K48" s="273"/>
      <c r="L48" s="590"/>
      <c r="M48" s="591"/>
      <c r="N48" s="289">
        <v>0</v>
      </c>
      <c r="O48" s="275">
        <f>S48</f>
        <v>10000</v>
      </c>
      <c r="P48" s="275">
        <f>0</f>
        <v>0</v>
      </c>
      <c r="Q48" s="620">
        <f>0</f>
        <v>0</v>
      </c>
      <c r="R48" s="621"/>
      <c r="S48" s="275">
        <v>10000</v>
      </c>
    </row>
    <row r="49" spans="1:19" ht="60.75" customHeight="1">
      <c r="A49" s="16">
        <v>4</v>
      </c>
      <c r="B49" s="61" t="s">
        <v>93</v>
      </c>
      <c r="C49" s="18">
        <v>365</v>
      </c>
      <c r="D49" s="274"/>
      <c r="E49" s="142"/>
      <c r="F49" s="606" t="s">
        <v>12</v>
      </c>
      <c r="G49" s="607"/>
      <c r="H49" s="274" t="s">
        <v>7</v>
      </c>
      <c r="I49" s="590"/>
      <c r="J49" s="591"/>
      <c r="K49" s="273"/>
      <c r="L49" s="585"/>
      <c r="M49" s="585"/>
      <c r="N49" s="289">
        <v>0</v>
      </c>
      <c r="O49" s="275">
        <f>S49</f>
        <v>10000</v>
      </c>
      <c r="P49" s="275">
        <f>0</f>
        <v>0</v>
      </c>
      <c r="Q49" s="620">
        <f>0</f>
        <v>0</v>
      </c>
      <c r="R49" s="621"/>
      <c r="S49" s="275">
        <v>10000</v>
      </c>
    </row>
    <row r="50" spans="1:19" ht="60.75" customHeight="1">
      <c r="A50" s="16">
        <v>5</v>
      </c>
      <c r="B50" s="61" t="s">
        <v>57</v>
      </c>
      <c r="C50" s="142">
        <v>697</v>
      </c>
      <c r="D50" s="274"/>
      <c r="E50" s="142"/>
      <c r="F50" s="606" t="s">
        <v>12</v>
      </c>
      <c r="G50" s="607"/>
      <c r="H50" s="274" t="s">
        <v>7</v>
      </c>
      <c r="I50" s="590"/>
      <c r="J50" s="591"/>
      <c r="K50" s="273"/>
      <c r="L50" s="590"/>
      <c r="M50" s="591"/>
      <c r="N50" s="289">
        <v>0</v>
      </c>
      <c r="O50" s="275">
        <f>S50</f>
        <v>10000</v>
      </c>
      <c r="P50" s="275">
        <f>0</f>
        <v>0</v>
      </c>
      <c r="Q50" s="620">
        <f>0</f>
        <v>0</v>
      </c>
      <c r="R50" s="621"/>
      <c r="S50" s="275">
        <v>10000</v>
      </c>
    </row>
    <row r="51" spans="1:19" ht="60.75" customHeight="1">
      <c r="A51" s="16">
        <v>6</v>
      </c>
      <c r="B51" s="57" t="s">
        <v>79</v>
      </c>
      <c r="C51" s="142">
        <v>767</v>
      </c>
      <c r="D51" s="274"/>
      <c r="E51" s="142"/>
      <c r="F51" s="606" t="s">
        <v>74</v>
      </c>
      <c r="G51" s="607"/>
      <c r="H51" s="274" t="s">
        <v>75</v>
      </c>
      <c r="I51" s="273"/>
      <c r="J51" s="273"/>
      <c r="K51" s="273"/>
      <c r="L51" s="273"/>
      <c r="M51" s="273"/>
      <c r="N51" s="289">
        <v>0</v>
      </c>
      <c r="O51" s="275">
        <f>S51</f>
        <v>11000</v>
      </c>
      <c r="P51" s="275">
        <f>0</f>
        <v>0</v>
      </c>
      <c r="Q51" s="620">
        <f>0</f>
        <v>0</v>
      </c>
      <c r="R51" s="621"/>
      <c r="S51" s="275">
        <v>11000</v>
      </c>
    </row>
    <row r="52" spans="1:19" ht="60.75" customHeight="1">
      <c r="A52" s="16">
        <v>7</v>
      </c>
      <c r="B52" s="58" t="s">
        <v>78</v>
      </c>
      <c r="C52" s="142">
        <v>610</v>
      </c>
      <c r="D52" s="274"/>
      <c r="E52" s="142"/>
      <c r="F52" s="606" t="s">
        <v>74</v>
      </c>
      <c r="G52" s="607"/>
      <c r="H52" s="274" t="s">
        <v>75</v>
      </c>
      <c r="I52" s="273"/>
      <c r="J52" s="273"/>
      <c r="K52" s="273"/>
      <c r="L52" s="273"/>
      <c r="M52" s="273"/>
      <c r="N52" s="289">
        <v>0</v>
      </c>
      <c r="O52" s="275">
        <f>S52</f>
        <v>10000</v>
      </c>
      <c r="P52" s="275">
        <f>0</f>
        <v>0</v>
      </c>
      <c r="Q52" s="620">
        <f>0</f>
        <v>0</v>
      </c>
      <c r="R52" s="621"/>
      <c r="S52" s="275">
        <v>10000</v>
      </c>
    </row>
    <row r="53" spans="1:19" ht="60.75" customHeight="1">
      <c r="A53" s="16">
        <v>8</v>
      </c>
      <c r="B53" s="57" t="s">
        <v>58</v>
      </c>
      <c r="C53" s="142">
        <v>601</v>
      </c>
      <c r="D53" s="274"/>
      <c r="E53" s="142"/>
      <c r="F53" s="606" t="s">
        <v>74</v>
      </c>
      <c r="G53" s="607"/>
      <c r="H53" s="274" t="s">
        <v>75</v>
      </c>
      <c r="I53" s="273"/>
      <c r="J53" s="273"/>
      <c r="K53" s="273"/>
      <c r="L53" s="273"/>
      <c r="M53" s="273"/>
      <c r="N53" s="289">
        <v>0</v>
      </c>
      <c r="O53" s="275">
        <v>10000</v>
      </c>
      <c r="P53" s="275">
        <f>0</f>
        <v>0</v>
      </c>
      <c r="Q53" s="620">
        <f>0</f>
        <v>0</v>
      </c>
      <c r="R53" s="621"/>
      <c r="S53" s="275">
        <f>O53</f>
        <v>10000</v>
      </c>
    </row>
    <row r="54" spans="1:19" ht="49.5" customHeight="1">
      <c r="A54" s="16">
        <v>9</v>
      </c>
      <c r="B54" s="132" t="s">
        <v>38</v>
      </c>
      <c r="C54" s="143">
        <v>1329</v>
      </c>
      <c r="D54" s="608"/>
      <c r="E54" s="609"/>
      <c r="F54" s="274"/>
      <c r="G54" s="610"/>
      <c r="H54" s="611"/>
      <c r="I54" s="612"/>
      <c r="J54" s="613"/>
      <c r="K54" s="100">
        <v>0.9</v>
      </c>
      <c r="L54" s="101"/>
      <c r="M54" s="614">
        <v>0</v>
      </c>
      <c r="N54" s="615"/>
      <c r="O54" s="130">
        <f>1889.55</f>
        <v>1889.55</v>
      </c>
      <c r="P54" s="276">
        <f>O54</f>
        <v>1889.55</v>
      </c>
      <c r="Q54" s="616">
        <v>0</v>
      </c>
      <c r="R54" s="617"/>
      <c r="S54" s="3">
        <v>1889.55</v>
      </c>
    </row>
    <row r="55" spans="1:19" ht="58.5" customHeight="1">
      <c r="A55" s="16">
        <v>10</v>
      </c>
      <c r="B55" s="57" t="s">
        <v>80</v>
      </c>
      <c r="C55" s="142">
        <v>775</v>
      </c>
      <c r="D55" s="274"/>
      <c r="E55" s="142"/>
      <c r="F55" s="606" t="s">
        <v>8</v>
      </c>
      <c r="G55" s="607"/>
      <c r="H55" s="274" t="s">
        <v>12</v>
      </c>
      <c r="I55" s="273"/>
      <c r="J55" s="273"/>
      <c r="K55" s="273"/>
      <c r="L55" s="273"/>
      <c r="M55" s="273"/>
      <c r="N55" s="289">
        <v>0</v>
      </c>
      <c r="O55" s="275">
        <v>120000</v>
      </c>
      <c r="P55" s="275">
        <v>0</v>
      </c>
      <c r="Q55" s="620">
        <v>0</v>
      </c>
      <c r="R55" s="621"/>
      <c r="S55" s="275">
        <v>12000</v>
      </c>
    </row>
    <row r="56" spans="1:19" ht="58.5" customHeight="1">
      <c r="A56" s="16">
        <v>11</v>
      </c>
      <c r="B56" s="57" t="s">
        <v>107</v>
      </c>
      <c r="C56" s="142">
        <v>431</v>
      </c>
      <c r="D56" s="309"/>
      <c r="E56" s="142"/>
      <c r="F56" s="606" t="s">
        <v>13</v>
      </c>
      <c r="G56" s="607"/>
      <c r="H56" s="309" t="s">
        <v>47</v>
      </c>
      <c r="I56" s="308"/>
      <c r="J56" s="308"/>
      <c r="K56" s="308"/>
      <c r="L56" s="308"/>
      <c r="M56" s="308"/>
      <c r="N56" s="310">
        <v>0</v>
      </c>
      <c r="O56" s="310">
        <v>10000</v>
      </c>
      <c r="P56" s="310">
        <v>0</v>
      </c>
      <c r="Q56" s="620">
        <v>0</v>
      </c>
      <c r="R56" s="621"/>
      <c r="S56" s="310">
        <f aca="true" t="shared" si="1" ref="S56:S61">O56</f>
        <v>10000</v>
      </c>
    </row>
    <row r="57" spans="1:19" ht="58.5" customHeight="1">
      <c r="A57" s="16">
        <v>12</v>
      </c>
      <c r="B57" s="57" t="s">
        <v>108</v>
      </c>
      <c r="C57" s="142">
        <v>932.55</v>
      </c>
      <c r="D57" s="309"/>
      <c r="E57" s="142"/>
      <c r="F57" s="606" t="s">
        <v>13</v>
      </c>
      <c r="G57" s="607"/>
      <c r="H57" s="309" t="s">
        <v>47</v>
      </c>
      <c r="I57" s="308"/>
      <c r="J57" s="308"/>
      <c r="K57" s="308"/>
      <c r="L57" s="308"/>
      <c r="M57" s="308"/>
      <c r="N57" s="310">
        <v>0</v>
      </c>
      <c r="O57" s="310">
        <v>14000</v>
      </c>
      <c r="P57" s="310">
        <v>0</v>
      </c>
      <c r="Q57" s="620">
        <v>0</v>
      </c>
      <c r="R57" s="621"/>
      <c r="S57" s="310">
        <f t="shared" si="1"/>
        <v>14000</v>
      </c>
    </row>
    <row r="58" spans="1:19" ht="58.5" customHeight="1">
      <c r="A58" s="16">
        <v>13</v>
      </c>
      <c r="B58" s="57" t="s">
        <v>109</v>
      </c>
      <c r="C58" s="142">
        <v>924</v>
      </c>
      <c r="D58" s="309"/>
      <c r="E58" s="142"/>
      <c r="F58" s="606" t="s">
        <v>13</v>
      </c>
      <c r="G58" s="607"/>
      <c r="H58" s="309" t="s">
        <v>47</v>
      </c>
      <c r="I58" s="308"/>
      <c r="J58" s="308"/>
      <c r="K58" s="308"/>
      <c r="L58" s="308"/>
      <c r="M58" s="308"/>
      <c r="N58" s="310">
        <v>0</v>
      </c>
      <c r="O58" s="310">
        <v>12000</v>
      </c>
      <c r="P58" s="310">
        <v>0</v>
      </c>
      <c r="Q58" s="620">
        <v>0</v>
      </c>
      <c r="R58" s="621"/>
      <c r="S58" s="310">
        <f t="shared" si="1"/>
        <v>12000</v>
      </c>
    </row>
    <row r="59" spans="1:19" ht="58.5" customHeight="1">
      <c r="A59" s="16">
        <v>14</v>
      </c>
      <c r="B59" s="57" t="s">
        <v>110</v>
      </c>
      <c r="C59" s="142">
        <v>730</v>
      </c>
      <c r="D59" s="309"/>
      <c r="E59" s="142"/>
      <c r="F59" s="606" t="s">
        <v>13</v>
      </c>
      <c r="G59" s="607"/>
      <c r="H59" s="309" t="s">
        <v>47</v>
      </c>
      <c r="I59" s="308"/>
      <c r="J59" s="308"/>
      <c r="K59" s="308"/>
      <c r="L59" s="308"/>
      <c r="M59" s="308"/>
      <c r="N59" s="310">
        <v>0</v>
      </c>
      <c r="O59" s="310">
        <v>12000</v>
      </c>
      <c r="P59" s="310">
        <v>0</v>
      </c>
      <c r="Q59" s="620">
        <v>0</v>
      </c>
      <c r="R59" s="621"/>
      <c r="S59" s="310">
        <f t="shared" si="1"/>
        <v>12000</v>
      </c>
    </row>
    <row r="60" spans="1:19" ht="58.5" customHeight="1">
      <c r="A60" s="16">
        <v>15</v>
      </c>
      <c r="B60" s="57" t="s">
        <v>112</v>
      </c>
      <c r="C60" s="142">
        <v>329</v>
      </c>
      <c r="D60" s="309"/>
      <c r="E60" s="142"/>
      <c r="F60" s="606" t="s">
        <v>13</v>
      </c>
      <c r="G60" s="607"/>
      <c r="H60" s="309" t="s">
        <v>47</v>
      </c>
      <c r="I60" s="308"/>
      <c r="J60" s="308"/>
      <c r="K60" s="308"/>
      <c r="L60" s="308"/>
      <c r="M60" s="308"/>
      <c r="N60" s="310">
        <v>0</v>
      </c>
      <c r="O60" s="310">
        <v>10000</v>
      </c>
      <c r="P60" s="310">
        <v>0</v>
      </c>
      <c r="Q60" s="620">
        <v>0</v>
      </c>
      <c r="R60" s="621"/>
      <c r="S60" s="310">
        <f t="shared" si="1"/>
        <v>10000</v>
      </c>
    </row>
    <row r="61" spans="1:19" ht="58.5" customHeight="1">
      <c r="A61" s="16">
        <v>16</v>
      </c>
      <c r="B61" s="57" t="s">
        <v>113</v>
      </c>
      <c r="C61" s="142">
        <v>554</v>
      </c>
      <c r="D61" s="309"/>
      <c r="E61" s="142"/>
      <c r="F61" s="606" t="s">
        <v>13</v>
      </c>
      <c r="G61" s="607"/>
      <c r="H61" s="309" t="s">
        <v>47</v>
      </c>
      <c r="I61" s="308"/>
      <c r="J61" s="308"/>
      <c r="K61" s="308"/>
      <c r="L61" s="308"/>
      <c r="M61" s="308"/>
      <c r="N61" s="310">
        <v>0</v>
      </c>
      <c r="O61" s="310">
        <v>10000</v>
      </c>
      <c r="P61" s="310">
        <v>0</v>
      </c>
      <c r="Q61" s="620">
        <v>0</v>
      </c>
      <c r="R61" s="621"/>
      <c r="S61" s="310">
        <f t="shared" si="1"/>
        <v>10000</v>
      </c>
    </row>
    <row r="62" spans="1:19" ht="34.5" customHeight="1">
      <c r="A62" s="4"/>
      <c r="B62" s="186" t="s">
        <v>105</v>
      </c>
      <c r="C62" s="187">
        <f>SUM(C46:C61)</f>
        <v>12481.55</v>
      </c>
      <c r="D62" s="188"/>
      <c r="E62" s="187"/>
      <c r="F62" s="188"/>
      <c r="G62" s="188"/>
      <c r="H62" s="188"/>
      <c r="I62" s="188"/>
      <c r="J62" s="188"/>
      <c r="K62" s="188"/>
      <c r="L62" s="188"/>
      <c r="M62" s="188"/>
      <c r="N62" s="24">
        <f>SUM(N46:N55)</f>
        <v>0</v>
      </c>
      <c r="O62" s="24">
        <f>SUM(O46:O55)</f>
        <v>206889.55</v>
      </c>
      <c r="P62" s="24">
        <f>SUM(P46:P55)</f>
        <v>1889.55</v>
      </c>
      <c r="Q62" s="653">
        <f>SUM(Q46:R55)</f>
        <v>0</v>
      </c>
      <c r="R62" s="654"/>
      <c r="S62" s="24">
        <f>SUM(S46:S59)+S60+S61</f>
        <v>164889.55</v>
      </c>
    </row>
    <row r="63" spans="1:19" ht="32.25" customHeight="1">
      <c r="A63" s="685" t="s">
        <v>29</v>
      </c>
      <c r="B63" s="686"/>
      <c r="C63" s="686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6"/>
      <c r="P63" s="686"/>
      <c r="Q63" s="686"/>
      <c r="R63" s="686"/>
      <c r="S63" s="687"/>
    </row>
    <row r="64" spans="1:19" ht="94.5" customHeight="1">
      <c r="A64" s="8"/>
      <c r="B64" s="50" t="s">
        <v>111</v>
      </c>
      <c r="C64" s="675"/>
      <c r="D64" s="676"/>
      <c r="E64" s="46"/>
      <c r="F64" s="675"/>
      <c r="G64" s="676"/>
      <c r="H64" s="8"/>
      <c r="I64" s="643"/>
      <c r="J64" s="645"/>
      <c r="K64" s="12"/>
      <c r="L64" s="675"/>
      <c r="M64" s="676"/>
      <c r="N64" s="12"/>
      <c r="O64" s="8"/>
      <c r="P64" s="8"/>
      <c r="Q64" s="675"/>
      <c r="R64" s="676"/>
      <c r="S64" s="51">
        <f>I26-L26</f>
        <v>125320.64200000011</v>
      </c>
    </row>
    <row r="65" spans="1:19" ht="45" customHeight="1">
      <c r="A65" s="4"/>
      <c r="B65" s="6" t="s">
        <v>102</v>
      </c>
      <c r="C65" s="622"/>
      <c r="D65" s="623"/>
      <c r="E65" s="5"/>
      <c r="F65" s="622"/>
      <c r="G65" s="623"/>
      <c r="H65" s="4"/>
      <c r="I65" s="683">
        <f>I26+I39+I62</f>
        <v>1312681.4300000002</v>
      </c>
      <c r="J65" s="684"/>
      <c r="K65" s="273"/>
      <c r="L65" s="683">
        <f>L26+L39+L62</f>
        <v>1170261.578</v>
      </c>
      <c r="M65" s="684"/>
      <c r="N65" s="24">
        <f>M26</f>
        <v>178625.93</v>
      </c>
      <c r="O65" s="24">
        <f>O26+O39+O62</f>
        <v>1008443.1200000001</v>
      </c>
      <c r="P65" s="24">
        <f>P26+P39+P62</f>
        <v>1889.55</v>
      </c>
      <c r="Q65" s="653">
        <f>Q32</f>
        <v>400000</v>
      </c>
      <c r="R65" s="654"/>
      <c r="S65" s="24">
        <f>S26+S39+S62</f>
        <v>646052.6100000001</v>
      </c>
    </row>
    <row r="66" spans="1:19" ht="38.25" customHeight="1">
      <c r="A66" s="118"/>
      <c r="B66" s="61" t="s">
        <v>106</v>
      </c>
      <c r="C66" s="277"/>
      <c r="D66" s="278"/>
      <c r="E66" s="119"/>
      <c r="F66" s="277"/>
      <c r="G66" s="278"/>
      <c r="H66" s="118"/>
      <c r="I66" s="254"/>
      <c r="J66" s="255"/>
      <c r="K66" s="56"/>
      <c r="L66" s="256"/>
      <c r="M66" s="126"/>
      <c r="N66" s="157"/>
      <c r="O66" s="128"/>
      <c r="P66" s="129"/>
      <c r="Q66" s="673"/>
      <c r="R66" s="673"/>
      <c r="S66" s="275">
        <v>258297.66</v>
      </c>
    </row>
    <row r="67" spans="1:19" ht="29.25" customHeight="1">
      <c r="A67" s="239"/>
      <c r="B67" s="257" t="s">
        <v>103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681">
        <f>Q65</f>
        <v>400000</v>
      </c>
      <c r="R67" s="682"/>
      <c r="S67" s="259">
        <f>S65</f>
        <v>646052.6100000001</v>
      </c>
    </row>
    <row r="69" spans="2:19" ht="25.5">
      <c r="B69" s="173" t="s">
        <v>100</v>
      </c>
      <c r="C69" s="173"/>
      <c r="D69" s="173"/>
      <c r="E69" s="173"/>
      <c r="F69" s="173"/>
      <c r="G69" s="173"/>
      <c r="H69" s="173" t="s">
        <v>95</v>
      </c>
      <c r="I69" s="173"/>
      <c r="J69" s="173"/>
      <c r="K69" s="173"/>
      <c r="L69" s="173"/>
      <c r="M69" s="174"/>
      <c r="N69" s="174"/>
      <c r="P69" s="25"/>
      <c r="Q69" s="25"/>
      <c r="S69" s="23"/>
    </row>
    <row r="70" spans="2:14" ht="12.75"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</row>
    <row r="71" spans="2:20" ht="20.2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T71" s="314">
        <v>258</v>
      </c>
    </row>
    <row r="72" spans="2:20" ht="20.25">
      <c r="B72" s="173" t="s">
        <v>96</v>
      </c>
      <c r="C72" s="173"/>
      <c r="D72" s="173"/>
      <c r="E72" s="173"/>
      <c r="F72" s="173"/>
      <c r="G72" s="173"/>
      <c r="H72" s="173" t="s">
        <v>45</v>
      </c>
      <c r="I72" s="173"/>
      <c r="J72" s="173"/>
      <c r="K72" s="173"/>
      <c r="L72" s="173"/>
      <c r="M72" s="173"/>
      <c r="N72" s="173"/>
      <c r="T72" s="314">
        <v>388</v>
      </c>
    </row>
    <row r="73" spans="2:20" ht="20.25"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T73" s="314">
        <f>SUM(T71:T73)</f>
        <v>3618246</v>
      </c>
    </row>
    <row r="74" spans="2:14" ht="12.75"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</row>
    <row r="75" ht="22.5" customHeight="1"/>
  </sheetData>
  <mergeCells count="153">
    <mergeCell ref="F61:G61"/>
    <mergeCell ref="Q61:R61"/>
    <mergeCell ref="F56:G56"/>
    <mergeCell ref="Q56:R56"/>
    <mergeCell ref="Q58:R58"/>
    <mergeCell ref="Q59:R59"/>
    <mergeCell ref="Q57:R57"/>
    <mergeCell ref="F57:G57"/>
    <mergeCell ref="F58:G58"/>
    <mergeCell ref="F59:G59"/>
    <mergeCell ref="F60:G60"/>
    <mergeCell ref="Q60:R60"/>
    <mergeCell ref="C7:P7"/>
    <mergeCell ref="A9:A13"/>
    <mergeCell ref="B9:B13"/>
    <mergeCell ref="C9:C13"/>
    <mergeCell ref="D9:E13"/>
    <mergeCell ref="F9:H10"/>
    <mergeCell ref="I9:L9"/>
    <mergeCell ref="M9:N13"/>
    <mergeCell ref="O9:S9"/>
    <mergeCell ref="I10:L10"/>
    <mergeCell ref="D14:E14"/>
    <mergeCell ref="G14:H14"/>
    <mergeCell ref="I14:J14"/>
    <mergeCell ref="M14:N14"/>
    <mergeCell ref="Q14:R14"/>
    <mergeCell ref="A15:S15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D16:E16"/>
    <mergeCell ref="I16:J16"/>
    <mergeCell ref="M16:N16"/>
    <mergeCell ref="Q16:R16"/>
    <mergeCell ref="D17:E17"/>
    <mergeCell ref="G17:H17"/>
    <mergeCell ref="I17:J17"/>
    <mergeCell ref="M17:N17"/>
    <mergeCell ref="Q17:R17"/>
    <mergeCell ref="D18:E18"/>
    <mergeCell ref="G18:H18"/>
    <mergeCell ref="I18:J18"/>
    <mergeCell ref="M18:N18"/>
    <mergeCell ref="Q18:R18"/>
    <mergeCell ref="D19:E19"/>
    <mergeCell ref="G19:H19"/>
    <mergeCell ref="I19:J19"/>
    <mergeCell ref="M19:N19"/>
    <mergeCell ref="Q19:R19"/>
    <mergeCell ref="Q22:R22"/>
    <mergeCell ref="Q23:R23"/>
    <mergeCell ref="Q24:R24"/>
    <mergeCell ref="Q25:R25"/>
    <mergeCell ref="A26:B26"/>
    <mergeCell ref="I26:J26"/>
    <mergeCell ref="M26:N26"/>
    <mergeCell ref="Q26:R26"/>
    <mergeCell ref="D20:E20"/>
    <mergeCell ref="G20:H20"/>
    <mergeCell ref="I20:J20"/>
    <mergeCell ref="M20:N20"/>
    <mergeCell ref="Q20:R20"/>
    <mergeCell ref="I21:J21"/>
    <mergeCell ref="M21:N21"/>
    <mergeCell ref="Q21:R21"/>
    <mergeCell ref="B29:S29"/>
    <mergeCell ref="I30:J30"/>
    <mergeCell ref="M30:N30"/>
    <mergeCell ref="Q30:R30"/>
    <mergeCell ref="Q31:R31"/>
    <mergeCell ref="A32:B32"/>
    <mergeCell ref="Q32:R32"/>
    <mergeCell ref="C27:D27"/>
    <mergeCell ref="F27:G27"/>
    <mergeCell ref="I27:J27"/>
    <mergeCell ref="L27:M27"/>
    <mergeCell ref="Q27:R27"/>
    <mergeCell ref="Q28:R28"/>
    <mergeCell ref="I37:J37"/>
    <mergeCell ref="M37:N37"/>
    <mergeCell ref="Q37:R37"/>
    <mergeCell ref="D38:E38"/>
    <mergeCell ref="G38:H38"/>
    <mergeCell ref="I38:J38"/>
    <mergeCell ref="M38:N38"/>
    <mergeCell ref="Q38:R38"/>
    <mergeCell ref="Q33:R33"/>
    <mergeCell ref="Q34:R34"/>
    <mergeCell ref="A35:S35"/>
    <mergeCell ref="C36:D36"/>
    <mergeCell ref="I36:J36"/>
    <mergeCell ref="L36:M36"/>
    <mergeCell ref="Q36:R36"/>
    <mergeCell ref="I39:J39"/>
    <mergeCell ref="M39:N39"/>
    <mergeCell ref="Q39:R39"/>
    <mergeCell ref="A41:S41"/>
    <mergeCell ref="A45:S45"/>
    <mergeCell ref="F46:G46"/>
    <mergeCell ref="I46:J46"/>
    <mergeCell ref="L46:M46"/>
    <mergeCell ref="Q46:R46"/>
    <mergeCell ref="F49:G49"/>
    <mergeCell ref="I49:J49"/>
    <mergeCell ref="L49:M49"/>
    <mergeCell ref="Q49:R49"/>
    <mergeCell ref="F50:G50"/>
    <mergeCell ref="I50:J50"/>
    <mergeCell ref="L50:M50"/>
    <mergeCell ref="Q50:R50"/>
    <mergeCell ref="F47:G47"/>
    <mergeCell ref="I47:J47"/>
    <mergeCell ref="L47:M47"/>
    <mergeCell ref="Q47:R47"/>
    <mergeCell ref="F48:G48"/>
    <mergeCell ref="I48:J48"/>
    <mergeCell ref="L48:M48"/>
    <mergeCell ref="Q48:R48"/>
    <mergeCell ref="D54:E54"/>
    <mergeCell ref="G54:H54"/>
    <mergeCell ref="I54:J54"/>
    <mergeCell ref="M54:N54"/>
    <mergeCell ref="Q54:R54"/>
    <mergeCell ref="F55:G55"/>
    <mergeCell ref="Q55:R55"/>
    <mergeCell ref="F51:G51"/>
    <mergeCell ref="Q51:R51"/>
    <mergeCell ref="F52:G52"/>
    <mergeCell ref="Q52:R52"/>
    <mergeCell ref="F53:G53"/>
    <mergeCell ref="Q53:R53"/>
    <mergeCell ref="Q67:R67"/>
    <mergeCell ref="C65:D65"/>
    <mergeCell ref="F65:G65"/>
    <mergeCell ref="I65:J65"/>
    <mergeCell ref="L65:M65"/>
    <mergeCell ref="Q65:R65"/>
    <mergeCell ref="Q66:R66"/>
    <mergeCell ref="Q62:R62"/>
    <mergeCell ref="A63:S63"/>
    <mergeCell ref="C64:D64"/>
    <mergeCell ref="F64:G64"/>
    <mergeCell ref="I64:J64"/>
    <mergeCell ref="L64:M64"/>
    <mergeCell ref="Q64:R64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zoomScale="69" zoomScaleNormal="69" workbookViewId="0" topLeftCell="A26">
      <selection activeCell="A38" sqref="A38:IV38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2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0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6.57421875" style="10" customWidth="1"/>
    <col min="19" max="19" width="25.28125" style="10" customWidth="1"/>
    <col min="20" max="20" width="18.8515625" style="15" customWidth="1"/>
    <col min="21" max="21" width="33.140625" style="15" customWidth="1"/>
    <col min="22" max="22" width="20.28125" style="15" customWidth="1"/>
    <col min="23" max="60" width="9.140625" style="15" customWidth="1"/>
    <col min="61" max="16384" width="9.140625" style="10" customWidth="1"/>
  </cols>
  <sheetData>
    <row r="1" spans="1:256" ht="18.75">
      <c r="A1" s="2"/>
      <c r="B1" s="189" t="s">
        <v>0</v>
      </c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190"/>
      <c r="O1" s="191"/>
      <c r="P1" s="190" t="s">
        <v>33</v>
      </c>
      <c r="Q1" s="190"/>
      <c r="R1" s="2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ht="18.75">
      <c r="A2" s="2"/>
      <c r="B2" s="189" t="s">
        <v>42</v>
      </c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90"/>
      <c r="P2" s="190" t="s">
        <v>34</v>
      </c>
      <c r="Q2" s="189"/>
      <c r="R2" s="1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ht="18.75">
      <c r="A3" s="2"/>
      <c r="B3" s="189" t="s">
        <v>5</v>
      </c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89"/>
      <c r="R3" s="1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ht="18.75">
      <c r="A4" s="2"/>
      <c r="B4" s="189" t="s">
        <v>43</v>
      </c>
      <c r="C4" s="189"/>
      <c r="D4" s="189"/>
      <c r="E4" s="189"/>
      <c r="F4" s="189" t="s">
        <v>115</v>
      </c>
      <c r="G4" s="189"/>
      <c r="H4" s="189"/>
      <c r="I4" s="189"/>
      <c r="J4" s="189"/>
      <c r="K4" s="189"/>
      <c r="L4" s="189"/>
      <c r="M4" s="189"/>
      <c r="N4" s="189"/>
      <c r="O4" s="190"/>
      <c r="P4" s="190" t="s">
        <v>62</v>
      </c>
      <c r="Q4" s="189"/>
      <c r="R4" s="1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ht="18.75">
      <c r="A5" s="2"/>
      <c r="B5" s="189" t="s">
        <v>60</v>
      </c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189"/>
      <c r="O5" s="190"/>
      <c r="P5" s="189" t="s">
        <v>35</v>
      </c>
      <c r="Q5" s="189"/>
      <c r="R5" s="2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7" spans="1:16" ht="18.75" customHeight="1">
      <c r="A7" s="11"/>
      <c r="C7" s="599" t="s">
        <v>59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ht="11.25" customHeight="1">
      <c r="A8" s="11"/>
    </row>
    <row r="9" spans="1:19" ht="43.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590" t="s">
        <v>18</v>
      </c>
      <c r="J9" s="713"/>
      <c r="K9" s="713"/>
      <c r="L9" s="591"/>
      <c r="M9" s="714" t="s">
        <v>65</v>
      </c>
      <c r="N9" s="715"/>
      <c r="O9" s="590" t="s">
        <v>68</v>
      </c>
      <c r="P9" s="713"/>
      <c r="Q9" s="713"/>
      <c r="R9" s="713"/>
      <c r="S9" s="591"/>
    </row>
    <row r="10" spans="1:19" ht="18.75" customHeight="1">
      <c r="A10" s="633"/>
      <c r="B10" s="716"/>
      <c r="C10" s="721"/>
      <c r="D10" s="716"/>
      <c r="E10" s="717"/>
      <c r="F10" s="718"/>
      <c r="G10" s="724"/>
      <c r="H10" s="719"/>
      <c r="I10" s="590" t="s">
        <v>77</v>
      </c>
      <c r="J10" s="713"/>
      <c r="K10" s="713"/>
      <c r="L10" s="591"/>
      <c r="M10" s="716"/>
      <c r="N10" s="717"/>
      <c r="O10" s="710" t="s">
        <v>19</v>
      </c>
      <c r="P10" s="713"/>
      <c r="Q10" s="713"/>
      <c r="R10" s="713"/>
      <c r="S10" s="591"/>
    </row>
    <row r="11" spans="1:19" ht="18.75" customHeight="1">
      <c r="A11" s="633"/>
      <c r="B11" s="716"/>
      <c r="C11" s="721"/>
      <c r="D11" s="716"/>
      <c r="E11" s="717"/>
      <c r="F11" s="318" t="s">
        <v>20</v>
      </c>
      <c r="G11" s="590" t="s">
        <v>21</v>
      </c>
      <c r="H11" s="591"/>
      <c r="I11" s="714" t="s">
        <v>22</v>
      </c>
      <c r="J11" s="715"/>
      <c r="K11" s="318"/>
      <c r="L11" s="720" t="s">
        <v>23</v>
      </c>
      <c r="M11" s="716"/>
      <c r="N11" s="717"/>
      <c r="O11" s="711"/>
      <c r="P11" s="715" t="s">
        <v>66</v>
      </c>
      <c r="Q11" s="714" t="s">
        <v>67</v>
      </c>
      <c r="R11" s="723"/>
      <c r="S11" s="715"/>
    </row>
    <row r="12" spans="1:19" ht="18.75" customHeight="1">
      <c r="A12" s="633"/>
      <c r="B12" s="716"/>
      <c r="C12" s="721"/>
      <c r="D12" s="716"/>
      <c r="E12" s="717"/>
      <c r="F12" s="318" t="s">
        <v>69</v>
      </c>
      <c r="G12" s="590" t="s">
        <v>69</v>
      </c>
      <c r="H12" s="591"/>
      <c r="I12" s="716"/>
      <c r="J12" s="717"/>
      <c r="K12" s="318"/>
      <c r="L12" s="721"/>
      <c r="M12" s="716"/>
      <c r="N12" s="717"/>
      <c r="O12" s="711"/>
      <c r="P12" s="717"/>
      <c r="Q12" s="718"/>
      <c r="R12" s="724"/>
      <c r="S12" s="719"/>
    </row>
    <row r="13" spans="1:19" ht="95.25" customHeight="1">
      <c r="A13" s="634"/>
      <c r="B13" s="718"/>
      <c r="C13" s="722"/>
      <c r="D13" s="718"/>
      <c r="E13" s="719"/>
      <c r="F13" s="318" t="s">
        <v>63</v>
      </c>
      <c r="G13" s="590" t="s">
        <v>64</v>
      </c>
      <c r="H13" s="591"/>
      <c r="I13" s="718"/>
      <c r="J13" s="719"/>
      <c r="K13" s="318"/>
      <c r="L13" s="722"/>
      <c r="M13" s="718"/>
      <c r="N13" s="719"/>
      <c r="O13" s="712"/>
      <c r="P13" s="719"/>
      <c r="Q13" s="590" t="s">
        <v>24</v>
      </c>
      <c r="R13" s="591"/>
      <c r="S13" s="318" t="s">
        <v>25</v>
      </c>
    </row>
    <row r="14" spans="1:19" ht="18.75">
      <c r="A14" s="13">
        <v>1</v>
      </c>
      <c r="B14" s="335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708">
        <v>7</v>
      </c>
      <c r="J14" s="709"/>
      <c r="K14" s="158"/>
      <c r="L14" s="158">
        <v>8</v>
      </c>
      <c r="M14" s="708">
        <v>9</v>
      </c>
      <c r="N14" s="709"/>
      <c r="O14" s="192">
        <v>10</v>
      </c>
      <c r="P14" s="336">
        <v>11</v>
      </c>
      <c r="Q14" s="708">
        <v>12</v>
      </c>
      <c r="R14" s="709"/>
      <c r="S14" s="335">
        <v>13</v>
      </c>
    </row>
    <row r="15" spans="1:19" ht="23.25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6"/>
    </row>
    <row r="16" spans="1:19" ht="65.25" customHeight="1">
      <c r="A16" s="16">
        <v>1</v>
      </c>
      <c r="B16" s="337" t="s">
        <v>48</v>
      </c>
      <c r="C16" s="3">
        <v>567</v>
      </c>
      <c r="D16" s="612">
        <v>567</v>
      </c>
      <c r="E16" s="613"/>
      <c r="F16" s="42" t="s">
        <v>76</v>
      </c>
      <c r="G16" s="42"/>
      <c r="H16" s="42" t="s">
        <v>75</v>
      </c>
      <c r="I16" s="612">
        <v>78804.3</v>
      </c>
      <c r="J16" s="613"/>
      <c r="K16" s="93">
        <v>0.9</v>
      </c>
      <c r="L16" s="3">
        <f aca="true" t="shared" si="0" ref="L16:L21">M16+O16</f>
        <v>69955.08</v>
      </c>
      <c r="M16" s="612">
        <v>63452.68</v>
      </c>
      <c r="N16" s="613"/>
      <c r="O16" s="42">
        <f>Q16+S16</f>
        <v>6502.4</v>
      </c>
      <c r="P16" s="363">
        <f>0</f>
        <v>0</v>
      </c>
      <c r="Q16" s="612">
        <f>0</f>
        <v>0</v>
      </c>
      <c r="R16" s="613"/>
      <c r="S16" s="3">
        <v>6502.4</v>
      </c>
    </row>
    <row r="17" spans="1:19" ht="66.75" customHeight="1">
      <c r="A17" s="16">
        <v>2</v>
      </c>
      <c r="B17" s="22" t="s">
        <v>44</v>
      </c>
      <c r="C17" s="3">
        <v>377</v>
      </c>
      <c r="D17" s="612">
        <v>377</v>
      </c>
      <c r="E17" s="613"/>
      <c r="F17" s="42" t="s">
        <v>76</v>
      </c>
      <c r="G17" s="627" t="s">
        <v>11</v>
      </c>
      <c r="H17" s="628"/>
      <c r="I17" s="612">
        <v>106395</v>
      </c>
      <c r="J17" s="613"/>
      <c r="K17" s="94">
        <v>0.9</v>
      </c>
      <c r="L17" s="3">
        <f t="shared" si="0"/>
        <v>96255.54</v>
      </c>
      <c r="M17" s="612">
        <v>3576.03</v>
      </c>
      <c r="N17" s="613"/>
      <c r="O17" s="42">
        <f>Q17+S17</f>
        <v>92679.51</v>
      </c>
      <c r="P17" s="363">
        <f>0</f>
        <v>0</v>
      </c>
      <c r="Q17" s="612">
        <v>72000</v>
      </c>
      <c r="R17" s="613"/>
      <c r="S17" s="3">
        <v>20679.51</v>
      </c>
    </row>
    <row r="18" spans="1:19" ht="44.25" customHeight="1">
      <c r="A18" s="16">
        <v>3</v>
      </c>
      <c r="B18" s="337" t="s">
        <v>30</v>
      </c>
      <c r="C18" s="3">
        <v>502</v>
      </c>
      <c r="D18" s="612">
        <v>502</v>
      </c>
      <c r="E18" s="613"/>
      <c r="F18" s="42" t="s">
        <v>76</v>
      </c>
      <c r="G18" s="627" t="s">
        <v>11</v>
      </c>
      <c r="H18" s="628"/>
      <c r="I18" s="612">
        <v>110501.12</v>
      </c>
      <c r="J18" s="613"/>
      <c r="K18" s="94">
        <v>0.9</v>
      </c>
      <c r="L18" s="3">
        <f t="shared" si="0"/>
        <v>92937.2</v>
      </c>
      <c r="M18" s="612">
        <v>20602.2</v>
      </c>
      <c r="N18" s="613"/>
      <c r="O18" s="42">
        <f>Q18+S18</f>
        <v>72335</v>
      </c>
      <c r="P18" s="363">
        <f>0</f>
        <v>0</v>
      </c>
      <c r="Q18" s="612">
        <v>43335</v>
      </c>
      <c r="R18" s="613"/>
      <c r="S18" s="3">
        <v>29000</v>
      </c>
    </row>
    <row r="19" spans="1:19" ht="54" customHeight="1">
      <c r="A19" s="16">
        <v>4</v>
      </c>
      <c r="B19" s="22" t="s">
        <v>37</v>
      </c>
      <c r="C19" s="3">
        <v>1064</v>
      </c>
      <c r="D19" s="612">
        <v>1064</v>
      </c>
      <c r="E19" s="613"/>
      <c r="F19" s="42" t="s">
        <v>76</v>
      </c>
      <c r="G19" s="627" t="s">
        <v>12</v>
      </c>
      <c r="H19" s="628"/>
      <c r="I19" s="612">
        <v>114278</v>
      </c>
      <c r="J19" s="613"/>
      <c r="K19" s="94">
        <v>0.9</v>
      </c>
      <c r="L19" s="3">
        <f t="shared" si="0"/>
        <v>90793.62</v>
      </c>
      <c r="M19" s="612">
        <v>39655.74</v>
      </c>
      <c r="N19" s="613"/>
      <c r="O19" s="42">
        <f>Q19+S19</f>
        <v>51137.880000000005</v>
      </c>
      <c r="P19" s="363">
        <f>0</f>
        <v>0</v>
      </c>
      <c r="Q19" s="612">
        <v>40298.87</v>
      </c>
      <c r="R19" s="613"/>
      <c r="S19" s="3">
        <f>(3000+39850.2)-14839.89-19541+2369.7</f>
        <v>10839.009999999998</v>
      </c>
    </row>
    <row r="20" spans="1:20" ht="39" customHeight="1">
      <c r="A20" s="82">
        <v>5</v>
      </c>
      <c r="B20" s="53" t="s">
        <v>38</v>
      </c>
      <c r="C20" s="131">
        <v>1329</v>
      </c>
      <c r="D20" s="616">
        <v>1329</v>
      </c>
      <c r="E20" s="617"/>
      <c r="F20" s="3" t="s">
        <v>76</v>
      </c>
      <c r="G20" s="616" t="s">
        <v>11</v>
      </c>
      <c r="H20" s="617"/>
      <c r="I20" s="612">
        <v>167041.6</v>
      </c>
      <c r="J20" s="613"/>
      <c r="K20" s="100">
        <v>0.9</v>
      </c>
      <c r="L20" s="3">
        <f t="shared" si="0"/>
        <v>117514.59</v>
      </c>
      <c r="M20" s="616">
        <v>14514.59</v>
      </c>
      <c r="N20" s="617"/>
      <c r="O20" s="3">
        <f>Q20+S20</f>
        <v>103000</v>
      </c>
      <c r="P20" s="363">
        <f>0</f>
        <v>0</v>
      </c>
      <c r="Q20" s="612">
        <f>72163-15000</f>
        <v>57163</v>
      </c>
      <c r="R20" s="613"/>
      <c r="S20" s="3">
        <v>45837</v>
      </c>
      <c r="T20" s="251"/>
    </row>
    <row r="21" spans="1:61" s="89" customFormat="1" ht="60" customHeight="1">
      <c r="A21" s="16">
        <v>6</v>
      </c>
      <c r="B21" s="337" t="s">
        <v>56</v>
      </c>
      <c r="C21" s="3">
        <v>549</v>
      </c>
      <c r="D21" s="3"/>
      <c r="E21" s="3">
        <f>C21</f>
        <v>549</v>
      </c>
      <c r="F21" s="3" t="s">
        <v>76</v>
      </c>
      <c r="G21" s="3"/>
      <c r="H21" s="3" t="s">
        <v>11</v>
      </c>
      <c r="I21" s="612">
        <v>104103</v>
      </c>
      <c r="J21" s="613"/>
      <c r="K21" s="93">
        <v>0.9</v>
      </c>
      <c r="L21" s="3">
        <f t="shared" si="0"/>
        <v>94255.86</v>
      </c>
      <c r="M21" s="612">
        <v>59255.86</v>
      </c>
      <c r="N21" s="613"/>
      <c r="O21" s="3">
        <f>P21+Q21+S21</f>
        <v>35000</v>
      </c>
      <c r="P21" s="363">
        <f>0</f>
        <v>0</v>
      </c>
      <c r="Q21" s="612">
        <f>0</f>
        <v>0</v>
      </c>
      <c r="R21" s="613"/>
      <c r="S21" s="3">
        <v>35000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48"/>
    </row>
    <row r="22" spans="1:19" s="15" customFormat="1" ht="40.5" customHeight="1">
      <c r="A22" s="16">
        <v>7</v>
      </c>
      <c r="B22" s="57" t="s">
        <v>10</v>
      </c>
      <c r="C22" s="3">
        <v>1717</v>
      </c>
      <c r="D22" s="3"/>
      <c r="E22" s="3">
        <f>C22</f>
        <v>1717</v>
      </c>
      <c r="F22" s="3" t="s">
        <v>11</v>
      </c>
      <c r="G22" s="3"/>
      <c r="H22" s="3" t="s">
        <v>7</v>
      </c>
      <c r="I22" s="362">
        <v>170000</v>
      </c>
      <c r="J22" s="363">
        <f>SUM(I22)</f>
        <v>170000</v>
      </c>
      <c r="K22" s="20">
        <v>0.9</v>
      </c>
      <c r="L22" s="3">
        <f>O22</f>
        <v>166215.82</v>
      </c>
      <c r="M22" s="361"/>
      <c r="N22" s="363">
        <v>0</v>
      </c>
      <c r="O22" s="3">
        <f>Q22+S22</f>
        <v>166215.82</v>
      </c>
      <c r="P22" s="363">
        <f>0</f>
        <v>0</v>
      </c>
      <c r="Q22" s="612">
        <f>37800+10349.82-19000</f>
        <v>29149.82</v>
      </c>
      <c r="R22" s="613"/>
      <c r="S22" s="3">
        <f>87066-10000+60000</f>
        <v>137066</v>
      </c>
    </row>
    <row r="23" spans="1:19" s="15" customFormat="1" ht="38.25" customHeight="1">
      <c r="A23" s="16">
        <v>8</v>
      </c>
      <c r="B23" s="57" t="s">
        <v>79</v>
      </c>
      <c r="C23" s="3">
        <v>711.8</v>
      </c>
      <c r="D23" s="3"/>
      <c r="E23" s="3">
        <f>C23</f>
        <v>711.8</v>
      </c>
      <c r="F23" s="3" t="s">
        <v>12</v>
      </c>
      <c r="G23" s="3" t="s">
        <v>9</v>
      </c>
      <c r="H23" s="3" t="s">
        <v>9</v>
      </c>
      <c r="I23" s="362">
        <v>117314.16</v>
      </c>
      <c r="J23" s="363">
        <f>SUM(I23)</f>
        <v>117314.16</v>
      </c>
      <c r="K23" s="20">
        <v>0.9</v>
      </c>
      <c r="L23" s="3">
        <f>O23</f>
        <v>107628.16</v>
      </c>
      <c r="M23" s="361"/>
      <c r="N23" s="363">
        <v>0</v>
      </c>
      <c r="O23" s="3">
        <f>Q23+S23</f>
        <v>107628.16</v>
      </c>
      <c r="P23" s="363">
        <f>0</f>
        <v>0</v>
      </c>
      <c r="Q23" s="612">
        <f>23000+19000+15536.08-20000-6203</f>
        <v>31333.08</v>
      </c>
      <c r="R23" s="613"/>
      <c r="S23" s="3">
        <v>76295.08</v>
      </c>
    </row>
    <row r="24" spans="1:19" s="15" customFormat="1" ht="55.5" customHeight="1">
      <c r="A24" s="16">
        <v>9</v>
      </c>
      <c r="B24" s="58" t="s">
        <v>82</v>
      </c>
      <c r="C24" s="3">
        <v>610</v>
      </c>
      <c r="D24" s="3"/>
      <c r="E24" s="3">
        <f>C24</f>
        <v>610</v>
      </c>
      <c r="F24" s="3" t="s">
        <v>12</v>
      </c>
      <c r="G24" s="3" t="s">
        <v>9</v>
      </c>
      <c r="H24" s="3" t="s">
        <v>9</v>
      </c>
      <c r="I24" s="362">
        <v>122000</v>
      </c>
      <c r="J24" s="363">
        <f>SUM(I24)</f>
        <v>122000</v>
      </c>
      <c r="K24" s="20">
        <v>0.9</v>
      </c>
      <c r="L24" s="3">
        <f>O24</f>
        <v>111019.99999999999</v>
      </c>
      <c r="M24" s="361"/>
      <c r="N24" s="363">
        <v>0</v>
      </c>
      <c r="O24" s="3">
        <f>Q24+S24</f>
        <v>111019.99999999999</v>
      </c>
      <c r="P24" s="363">
        <f>0</f>
        <v>0</v>
      </c>
      <c r="Q24" s="612">
        <f>19000+10000+2609.49-20000+23978.71-8126.2-6203+1378.6</f>
        <v>22637.599999999995</v>
      </c>
      <c r="R24" s="613"/>
      <c r="S24" s="3">
        <v>88382.4</v>
      </c>
    </row>
    <row r="25" spans="1:19" s="15" customFormat="1" ht="53.25" customHeight="1">
      <c r="A25" s="16">
        <v>10</v>
      </c>
      <c r="B25" s="57" t="s">
        <v>58</v>
      </c>
      <c r="C25" s="3">
        <v>601</v>
      </c>
      <c r="D25" s="3"/>
      <c r="E25" s="3">
        <f>C25</f>
        <v>601</v>
      </c>
      <c r="F25" s="3" t="s">
        <v>11</v>
      </c>
      <c r="G25" s="3" t="s">
        <v>9</v>
      </c>
      <c r="H25" s="3" t="s">
        <v>13</v>
      </c>
      <c r="I25" s="362">
        <v>120200</v>
      </c>
      <c r="J25" s="363">
        <f>SUM(I25)</f>
        <v>120200</v>
      </c>
      <c r="K25" s="20">
        <v>0.9</v>
      </c>
      <c r="L25" s="3">
        <f>O25</f>
        <v>109382</v>
      </c>
      <c r="M25" s="361"/>
      <c r="N25" s="363">
        <v>0</v>
      </c>
      <c r="O25" s="3">
        <f>Q25+S25</f>
        <v>109382</v>
      </c>
      <c r="P25" s="363">
        <f>0</f>
        <v>0</v>
      </c>
      <c r="Q25" s="612">
        <f>22000+38000-944.77-27000-6203-0.49</f>
        <v>25851.74</v>
      </c>
      <c r="R25" s="613"/>
      <c r="S25" s="3">
        <v>83530.26</v>
      </c>
    </row>
    <row r="26" spans="1:21" ht="42" customHeight="1">
      <c r="A26" s="689"/>
      <c r="B26" s="690"/>
      <c r="C26" s="368">
        <f>SUM(C16:C25)</f>
        <v>8027.8</v>
      </c>
      <c r="D26" s="368">
        <f>SUM(D16:D25)</f>
        <v>3839</v>
      </c>
      <c r="E26" s="368">
        <v>8027.8</v>
      </c>
      <c r="F26" s="368"/>
      <c r="G26" s="368"/>
      <c r="H26" s="368"/>
      <c r="I26" s="683">
        <f>SUM(I16:I25)</f>
        <v>1210637.1800000002</v>
      </c>
      <c r="J26" s="684"/>
      <c r="K26" s="365"/>
      <c r="L26" s="368">
        <f>SUM(L16:L25)</f>
        <v>1055957.87</v>
      </c>
      <c r="M26" s="700">
        <f>SUM(M16:M25)</f>
        <v>201057.09999999998</v>
      </c>
      <c r="N26" s="701"/>
      <c r="O26" s="368">
        <f>SUM(O16:O25)</f>
        <v>854900.77</v>
      </c>
      <c r="P26" s="368">
        <v>0</v>
      </c>
      <c r="Q26" s="700">
        <f>SUM(Q16:R25)</f>
        <v>321769.11</v>
      </c>
      <c r="R26" s="701"/>
      <c r="S26" s="39">
        <f>SUM(S16:S25)</f>
        <v>533131.66</v>
      </c>
      <c r="T26" s="252"/>
      <c r="U26" s="154">
        <f>Q26-400000</f>
        <v>-78230.89000000001</v>
      </c>
    </row>
    <row r="27" spans="1:19" ht="51.75" customHeight="1" hidden="1">
      <c r="A27" s="16"/>
      <c r="B27" s="57" t="s">
        <v>46</v>
      </c>
      <c r="C27" s="694"/>
      <c r="D27" s="695"/>
      <c r="E27" s="155"/>
      <c r="F27" s="694"/>
      <c r="G27" s="695"/>
      <c r="H27" s="16"/>
      <c r="I27" s="694"/>
      <c r="J27" s="695"/>
      <c r="K27" s="16"/>
      <c r="L27" s="694"/>
      <c r="M27" s="695"/>
      <c r="N27" s="16"/>
      <c r="O27" s="156"/>
      <c r="P27" s="13"/>
      <c r="Q27" s="696"/>
      <c r="R27" s="695"/>
      <c r="S27" s="320"/>
    </row>
    <row r="28" spans="1:20" ht="26.25" customHeight="1" hidden="1">
      <c r="A28" s="16"/>
      <c r="B28" s="56" t="s">
        <v>84</v>
      </c>
      <c r="C28" s="16"/>
      <c r="D28" s="16"/>
      <c r="E28" s="155"/>
      <c r="F28" s="16"/>
      <c r="G28" s="16"/>
      <c r="H28" s="16"/>
      <c r="I28" s="16"/>
      <c r="J28" s="16"/>
      <c r="K28" s="16"/>
      <c r="L28" s="16"/>
      <c r="M28" s="16"/>
      <c r="N28" s="16"/>
      <c r="O28" s="156"/>
      <c r="P28" s="13"/>
      <c r="Q28" s="697"/>
      <c r="R28" s="697"/>
      <c r="S28" s="320">
        <v>258297.66</v>
      </c>
      <c r="T28" s="238"/>
    </row>
    <row r="29" spans="1:21" ht="26.25" customHeight="1">
      <c r="A29" s="16"/>
      <c r="B29" s="594" t="s">
        <v>104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  <c r="U29" s="242"/>
    </row>
    <row r="30" spans="1:19" ht="65.25" customHeight="1">
      <c r="A30" s="16">
        <v>1</v>
      </c>
      <c r="B30" s="57" t="s">
        <v>88</v>
      </c>
      <c r="C30" s="18">
        <v>717</v>
      </c>
      <c r="D30" s="321"/>
      <c r="E30" s="327"/>
      <c r="F30" s="318"/>
      <c r="G30" s="318"/>
      <c r="H30" s="318"/>
      <c r="I30" s="612">
        <v>113514</v>
      </c>
      <c r="J30" s="613"/>
      <c r="K30" s="3">
        <v>0.9</v>
      </c>
      <c r="L30" s="3">
        <f>M30+O30</f>
        <v>91482.12</v>
      </c>
      <c r="M30" s="612">
        <v>40967.75</v>
      </c>
      <c r="N30" s="613"/>
      <c r="O30" s="3">
        <f>Q30+S30</f>
        <v>50514.37</v>
      </c>
      <c r="P30" s="363">
        <f>Q30</f>
        <v>50514.37</v>
      </c>
      <c r="Q30" s="612">
        <v>50514.37</v>
      </c>
      <c r="R30" s="613"/>
      <c r="S30" s="3">
        <v>0</v>
      </c>
    </row>
    <row r="31" spans="1:20" ht="57.75" customHeight="1">
      <c r="A31" s="16">
        <v>2</v>
      </c>
      <c r="B31" s="57" t="s">
        <v>89</v>
      </c>
      <c r="C31" s="18">
        <v>959.7</v>
      </c>
      <c r="D31" s="318"/>
      <c r="E31" s="18"/>
      <c r="F31" s="318"/>
      <c r="G31" s="318"/>
      <c r="H31" s="318"/>
      <c r="I31" s="362">
        <v>74778</v>
      </c>
      <c r="J31" s="363">
        <f>SUM(I31)</f>
        <v>74778</v>
      </c>
      <c r="K31" s="20"/>
      <c r="L31" s="3">
        <v>64634.74</v>
      </c>
      <c r="M31" s="361"/>
      <c r="N31" s="363">
        <v>29144.61</v>
      </c>
      <c r="O31" s="3">
        <f>Q31+S31</f>
        <v>27716.52</v>
      </c>
      <c r="P31" s="363">
        <f>Q31</f>
        <v>27716.52</v>
      </c>
      <c r="Q31" s="612">
        <v>27716.52</v>
      </c>
      <c r="R31" s="613"/>
      <c r="S31" s="3">
        <v>0</v>
      </c>
      <c r="T31" s="153">
        <v>29144.61</v>
      </c>
    </row>
    <row r="32" spans="1:19" ht="26.25" customHeight="1">
      <c r="A32" s="689" t="s">
        <v>94</v>
      </c>
      <c r="B32" s="690"/>
      <c r="C32" s="313">
        <f>C26+C30+C31</f>
        <v>9704.5</v>
      </c>
      <c r="D32" s="180">
        <f>D26+D30+D31</f>
        <v>3839</v>
      </c>
      <c r="E32" s="180"/>
      <c r="F32" s="179"/>
      <c r="G32" s="179"/>
      <c r="H32" s="179"/>
      <c r="I32" s="181">
        <f>I26+I30+I31</f>
        <v>1398929.1800000002</v>
      </c>
      <c r="J32" s="181">
        <f>J26+J30+J31</f>
        <v>74778</v>
      </c>
      <c r="K32" s="181">
        <f>K26+K30+K31</f>
        <v>0.9</v>
      </c>
      <c r="L32" s="181">
        <f>L26+L30+L31</f>
        <v>1212074.7300000002</v>
      </c>
      <c r="M32" s="181">
        <f>M26+M30+M31</f>
        <v>242024.84999999998</v>
      </c>
      <c r="N32" s="181">
        <f>M26+M30+N31</f>
        <v>271169.45999999996</v>
      </c>
      <c r="O32" s="181">
        <f>O26+O30+O31</f>
        <v>933131.66</v>
      </c>
      <c r="P32" s="369">
        <f>SUM(P30:P31)</f>
        <v>78230.89</v>
      </c>
      <c r="Q32" s="729">
        <f>Q26+Q30+Q31</f>
        <v>400000</v>
      </c>
      <c r="R32" s="730"/>
      <c r="S32" s="39">
        <f>S26</f>
        <v>533131.66</v>
      </c>
    </row>
    <row r="33" spans="1:19" ht="26.25" customHeight="1" hidden="1">
      <c r="A33" s="337"/>
      <c r="B33" s="59"/>
      <c r="C33" s="168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168"/>
      <c r="O33" s="170"/>
      <c r="P33" s="171"/>
      <c r="Q33" s="693">
        <v>400000</v>
      </c>
      <c r="R33" s="693"/>
      <c r="S33" s="317"/>
    </row>
    <row r="34" spans="1:19" ht="26.25" customHeight="1" hidden="1">
      <c r="A34" s="337"/>
      <c r="B34" s="59"/>
      <c r="C34" s="168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168"/>
      <c r="O34" s="170"/>
      <c r="P34" s="171"/>
      <c r="Q34" s="693">
        <f>Q26+Q30+Q31</f>
        <v>400000</v>
      </c>
      <c r="R34" s="693"/>
      <c r="S34" s="317"/>
    </row>
    <row r="35" spans="1:19" ht="36.75" customHeight="1">
      <c r="A35" s="685" t="s">
        <v>27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</row>
    <row r="36" spans="1:60" s="113" customFormat="1" ht="80.25" customHeight="1">
      <c r="A36" s="16">
        <v>1</v>
      </c>
      <c r="B36" s="337" t="s">
        <v>52</v>
      </c>
      <c r="C36" s="590">
        <v>581</v>
      </c>
      <c r="D36" s="591"/>
      <c r="E36" s="18" t="s">
        <v>39</v>
      </c>
      <c r="F36" s="318" t="s">
        <v>76</v>
      </c>
      <c r="G36" s="318" t="s">
        <v>76</v>
      </c>
      <c r="H36" s="319" t="s">
        <v>7</v>
      </c>
      <c r="I36" s="612">
        <v>91513.3</v>
      </c>
      <c r="J36" s="613"/>
      <c r="K36" s="362"/>
      <c r="L36" s="612">
        <v>73959.7</v>
      </c>
      <c r="M36" s="613"/>
      <c r="N36" s="3">
        <v>62641.85</v>
      </c>
      <c r="O36" s="3">
        <v>1973.18</v>
      </c>
      <c r="P36" s="3">
        <f>0</f>
        <v>0</v>
      </c>
      <c r="Q36" s="612">
        <f>0</f>
        <v>0</v>
      </c>
      <c r="R36" s="613"/>
      <c r="S36" s="3">
        <f>1973.18</f>
        <v>1973.18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s="113" customFormat="1" ht="78" customHeight="1">
      <c r="A37" s="16">
        <v>2</v>
      </c>
      <c r="B37" s="337" t="s">
        <v>53</v>
      </c>
      <c r="C37" s="18">
        <v>405</v>
      </c>
      <c r="D37" s="318"/>
      <c r="E37" s="318" t="s">
        <v>39</v>
      </c>
      <c r="F37" s="318" t="s">
        <v>76</v>
      </c>
      <c r="G37" s="318" t="s">
        <v>76</v>
      </c>
      <c r="H37" s="318" t="s">
        <v>7</v>
      </c>
      <c r="I37" s="612">
        <v>70673.4</v>
      </c>
      <c r="J37" s="613"/>
      <c r="K37" s="20">
        <v>0.9</v>
      </c>
      <c r="L37" s="3">
        <v>60339.6</v>
      </c>
      <c r="M37" s="612">
        <v>50670.04</v>
      </c>
      <c r="N37" s="613"/>
      <c r="O37" s="3">
        <f>'[1]Подрядный способ'!$J$5</f>
        <v>2028.02</v>
      </c>
      <c r="P37" s="363">
        <f>0</f>
        <v>0</v>
      </c>
      <c r="Q37" s="612">
        <f>0</f>
        <v>0</v>
      </c>
      <c r="R37" s="613"/>
      <c r="S37" s="3">
        <f>O37</f>
        <v>2028.02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19" ht="38.25" customHeight="1">
      <c r="A38" s="4"/>
      <c r="B38" s="185" t="s">
        <v>92</v>
      </c>
      <c r="C38" s="34"/>
      <c r="D38" s="35"/>
      <c r="E38" s="35"/>
      <c r="F38" s="35"/>
      <c r="G38" s="35"/>
      <c r="H38" s="35"/>
      <c r="I38" s="683">
        <f>SUM(I36:J37)</f>
        <v>162186.7</v>
      </c>
      <c r="J38" s="684"/>
      <c r="K38" s="38"/>
      <c r="L38" s="39">
        <f>SUM(L36:L37)</f>
        <v>134299.3</v>
      </c>
      <c r="M38" s="683">
        <f>SUM(M36:N37)</f>
        <v>113311.89</v>
      </c>
      <c r="N38" s="684"/>
      <c r="O38" s="39">
        <f>P38+Q38+S38</f>
        <v>4001.2</v>
      </c>
      <c r="P38" s="326"/>
      <c r="Q38" s="653">
        <f>SUM(Q36:R37)</f>
        <v>0</v>
      </c>
      <c r="R38" s="688"/>
      <c r="S38" s="39">
        <f>SUM(S36:S37)</f>
        <v>4001.2</v>
      </c>
    </row>
    <row r="39" spans="1:19" ht="42" customHeight="1" hidden="1">
      <c r="A39" s="4"/>
      <c r="B39" s="6" t="s">
        <v>46</v>
      </c>
      <c r="C39" s="34"/>
      <c r="D39" s="35"/>
      <c r="E39" s="35"/>
      <c r="F39" s="35"/>
      <c r="G39" s="35"/>
      <c r="H39" s="35"/>
      <c r="I39" s="328"/>
      <c r="J39" s="322"/>
      <c r="K39" s="253"/>
      <c r="L39" s="3"/>
      <c r="M39" s="338"/>
      <c r="N39" s="329"/>
      <c r="O39" s="39"/>
      <c r="P39" s="326"/>
      <c r="Q39" s="325"/>
      <c r="R39" s="339"/>
      <c r="S39" s="39">
        <f>S38</f>
        <v>4001.2</v>
      </c>
    </row>
    <row r="40" spans="1:19" ht="0.75" customHeight="1" hidden="1">
      <c r="A40" s="655" t="s">
        <v>28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7"/>
    </row>
    <row r="41" spans="1:60" s="45" customFormat="1" ht="75.75" customHeight="1" hidden="1">
      <c r="A41" s="8" t="s">
        <v>41</v>
      </c>
      <c r="B41" s="323" t="s">
        <v>41</v>
      </c>
      <c r="C41" s="46" t="s">
        <v>41</v>
      </c>
      <c r="D41" s="8"/>
      <c r="E41" s="8" t="s">
        <v>41</v>
      </c>
      <c r="F41" s="8" t="s">
        <v>41</v>
      </c>
      <c r="G41" s="8"/>
      <c r="H41" s="8" t="s">
        <v>41</v>
      </c>
      <c r="I41" s="328" t="s">
        <v>41</v>
      </c>
      <c r="J41" s="322"/>
      <c r="K41" s="322"/>
      <c r="L41" s="3" t="s">
        <v>41</v>
      </c>
      <c r="M41" s="330"/>
      <c r="N41" s="329" t="s">
        <v>41</v>
      </c>
      <c r="O41" s="42" t="s">
        <v>41</v>
      </c>
      <c r="P41" s="334" t="s">
        <v>41</v>
      </c>
      <c r="Q41" s="333" t="s">
        <v>41</v>
      </c>
      <c r="R41" s="324"/>
      <c r="S41" s="330" t="s">
        <v>41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s="45" customFormat="1" ht="33.75" customHeight="1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19" ht="46.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24.75" customHeight="1">
      <c r="A44" s="594" t="s">
        <v>51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6"/>
    </row>
    <row r="45" spans="1:19" ht="60.75" customHeight="1">
      <c r="A45" s="16" t="s">
        <v>71</v>
      </c>
      <c r="B45" s="61" t="s">
        <v>10</v>
      </c>
      <c r="C45" s="142">
        <v>1717</v>
      </c>
      <c r="D45" s="319"/>
      <c r="E45" s="142"/>
      <c r="F45" s="606" t="s">
        <v>74</v>
      </c>
      <c r="G45" s="607"/>
      <c r="H45" s="319" t="s">
        <v>75</v>
      </c>
      <c r="I45" s="590"/>
      <c r="J45" s="591"/>
      <c r="K45" s="321"/>
      <c r="L45" s="612"/>
      <c r="M45" s="613"/>
      <c r="N45" s="3">
        <v>0</v>
      </c>
      <c r="O45" s="3">
        <v>12000</v>
      </c>
      <c r="P45" s="3">
        <v>0</v>
      </c>
      <c r="Q45" s="612">
        <v>0</v>
      </c>
      <c r="R45" s="613"/>
      <c r="S45" s="3">
        <f>O45</f>
        <v>12000</v>
      </c>
    </row>
    <row r="46" spans="1:19" ht="63.75" customHeight="1">
      <c r="A46" s="16">
        <v>2</v>
      </c>
      <c r="B46" s="61" t="s">
        <v>55</v>
      </c>
      <c r="C46" s="142">
        <v>1206</v>
      </c>
      <c r="D46" s="319"/>
      <c r="E46" s="142"/>
      <c r="F46" s="606" t="s">
        <v>86</v>
      </c>
      <c r="G46" s="607"/>
      <c r="H46" s="340" t="s">
        <v>13</v>
      </c>
      <c r="I46" s="590"/>
      <c r="J46" s="591"/>
      <c r="K46" s="318"/>
      <c r="L46" s="612"/>
      <c r="M46" s="613"/>
      <c r="N46" s="3">
        <v>0</v>
      </c>
      <c r="O46" s="3">
        <v>12000</v>
      </c>
      <c r="P46" s="3">
        <f>0</f>
        <v>0</v>
      </c>
      <c r="Q46" s="612">
        <f>0</f>
        <v>0</v>
      </c>
      <c r="R46" s="613"/>
      <c r="S46" s="3">
        <v>11000</v>
      </c>
    </row>
    <row r="47" spans="1:19" ht="62.25" customHeight="1">
      <c r="A47" s="16">
        <v>3</v>
      </c>
      <c r="B47" s="56" t="s">
        <v>83</v>
      </c>
      <c r="C47" s="142">
        <v>514</v>
      </c>
      <c r="D47" s="319"/>
      <c r="E47" s="142"/>
      <c r="F47" s="606" t="s">
        <v>13</v>
      </c>
      <c r="G47" s="607"/>
      <c r="H47" s="340" t="s">
        <v>9</v>
      </c>
      <c r="I47" s="590"/>
      <c r="J47" s="591"/>
      <c r="K47" s="318"/>
      <c r="L47" s="612"/>
      <c r="M47" s="613"/>
      <c r="N47" s="3">
        <v>0</v>
      </c>
      <c r="O47" s="3">
        <f>S47</f>
        <v>8000</v>
      </c>
      <c r="P47" s="3">
        <f>0</f>
        <v>0</v>
      </c>
      <c r="Q47" s="612">
        <f>0</f>
        <v>0</v>
      </c>
      <c r="R47" s="613"/>
      <c r="S47" s="3">
        <v>8000</v>
      </c>
    </row>
    <row r="48" spans="1:19" ht="60.75" customHeight="1">
      <c r="A48" s="16">
        <v>4</v>
      </c>
      <c r="B48" s="61" t="s">
        <v>93</v>
      </c>
      <c r="C48" s="18">
        <v>365</v>
      </c>
      <c r="D48" s="319"/>
      <c r="E48" s="142"/>
      <c r="F48" s="606" t="s">
        <v>12</v>
      </c>
      <c r="G48" s="607"/>
      <c r="H48" s="319" t="s">
        <v>7</v>
      </c>
      <c r="I48" s="590"/>
      <c r="J48" s="591"/>
      <c r="K48" s="318"/>
      <c r="L48" s="731"/>
      <c r="M48" s="731"/>
      <c r="N48" s="3">
        <v>0</v>
      </c>
      <c r="O48" s="3">
        <f>S48</f>
        <v>8000</v>
      </c>
      <c r="P48" s="3">
        <f>0</f>
        <v>0</v>
      </c>
      <c r="Q48" s="612">
        <f>0</f>
        <v>0</v>
      </c>
      <c r="R48" s="613"/>
      <c r="S48" s="3">
        <v>8000</v>
      </c>
    </row>
    <row r="49" spans="1:19" ht="60.75" customHeight="1">
      <c r="A49" s="16">
        <v>5</v>
      </c>
      <c r="B49" s="61" t="s">
        <v>57</v>
      </c>
      <c r="C49" s="142">
        <v>697</v>
      </c>
      <c r="D49" s="319"/>
      <c r="E49" s="142"/>
      <c r="F49" s="606" t="s">
        <v>12</v>
      </c>
      <c r="G49" s="607"/>
      <c r="H49" s="319" t="s">
        <v>7</v>
      </c>
      <c r="I49" s="590"/>
      <c r="J49" s="591"/>
      <c r="K49" s="318"/>
      <c r="L49" s="612"/>
      <c r="M49" s="613"/>
      <c r="N49" s="3">
        <v>0</v>
      </c>
      <c r="O49" s="3">
        <f>S49</f>
        <v>10000</v>
      </c>
      <c r="P49" s="3">
        <f>0</f>
        <v>0</v>
      </c>
      <c r="Q49" s="612">
        <f>0</f>
        <v>0</v>
      </c>
      <c r="R49" s="613"/>
      <c r="S49" s="3">
        <v>10000</v>
      </c>
    </row>
    <row r="50" spans="1:19" ht="60.75" customHeight="1">
      <c r="A50" s="16">
        <v>6</v>
      </c>
      <c r="B50" s="57" t="s">
        <v>79</v>
      </c>
      <c r="C50" s="142">
        <v>767</v>
      </c>
      <c r="D50" s="319"/>
      <c r="E50" s="142"/>
      <c r="F50" s="606" t="s">
        <v>74</v>
      </c>
      <c r="G50" s="607"/>
      <c r="H50" s="319" t="s">
        <v>75</v>
      </c>
      <c r="I50" s="318"/>
      <c r="J50" s="318"/>
      <c r="K50" s="318"/>
      <c r="L50" s="3"/>
      <c r="M50" s="3"/>
      <c r="N50" s="3">
        <v>0</v>
      </c>
      <c r="O50" s="3">
        <f>S50</f>
        <v>10499.99</v>
      </c>
      <c r="P50" s="3">
        <f>0</f>
        <v>0</v>
      </c>
      <c r="Q50" s="612">
        <f>0</f>
        <v>0</v>
      </c>
      <c r="R50" s="613"/>
      <c r="S50" s="3">
        <v>10499.99</v>
      </c>
    </row>
    <row r="51" spans="1:19" ht="60.75" customHeight="1">
      <c r="A51" s="16">
        <v>7</v>
      </c>
      <c r="B51" s="58" t="s">
        <v>78</v>
      </c>
      <c r="C51" s="142">
        <v>610</v>
      </c>
      <c r="D51" s="319"/>
      <c r="E51" s="142"/>
      <c r="F51" s="606" t="s">
        <v>74</v>
      </c>
      <c r="G51" s="607"/>
      <c r="H51" s="319" t="s">
        <v>75</v>
      </c>
      <c r="I51" s="318"/>
      <c r="J51" s="318"/>
      <c r="K51" s="318"/>
      <c r="L51" s="3"/>
      <c r="M51" s="3"/>
      <c r="N51" s="3">
        <v>0</v>
      </c>
      <c r="O51" s="3">
        <f>S51</f>
        <v>10000</v>
      </c>
      <c r="P51" s="3">
        <f>0</f>
        <v>0</v>
      </c>
      <c r="Q51" s="612">
        <f>0</f>
        <v>0</v>
      </c>
      <c r="R51" s="613"/>
      <c r="S51" s="3">
        <v>10000</v>
      </c>
    </row>
    <row r="52" spans="1:19" ht="60.75" customHeight="1">
      <c r="A52" s="16">
        <v>8</v>
      </c>
      <c r="B52" s="57" t="s">
        <v>58</v>
      </c>
      <c r="C52" s="142">
        <v>601</v>
      </c>
      <c r="D52" s="319"/>
      <c r="E52" s="142"/>
      <c r="F52" s="606" t="s">
        <v>74</v>
      </c>
      <c r="G52" s="607"/>
      <c r="H52" s="319" t="s">
        <v>75</v>
      </c>
      <c r="I52" s="318"/>
      <c r="J52" s="318"/>
      <c r="K52" s="318"/>
      <c r="L52" s="3"/>
      <c r="M52" s="3"/>
      <c r="N52" s="3">
        <v>0</v>
      </c>
      <c r="O52" s="3">
        <v>10000</v>
      </c>
      <c r="P52" s="3">
        <f>0</f>
        <v>0</v>
      </c>
      <c r="Q52" s="612">
        <f>0</f>
        <v>0</v>
      </c>
      <c r="R52" s="613"/>
      <c r="S52" s="3">
        <v>9000</v>
      </c>
    </row>
    <row r="53" spans="1:19" ht="49.5" customHeight="1">
      <c r="A53" s="16">
        <v>9</v>
      </c>
      <c r="B53" s="132" t="s">
        <v>38</v>
      </c>
      <c r="C53" s="143">
        <v>1329</v>
      </c>
      <c r="D53" s="608"/>
      <c r="E53" s="609"/>
      <c r="F53" s="319"/>
      <c r="G53" s="610"/>
      <c r="H53" s="611"/>
      <c r="I53" s="612"/>
      <c r="J53" s="613"/>
      <c r="K53" s="100">
        <v>0.9</v>
      </c>
      <c r="L53" s="100"/>
      <c r="M53" s="616">
        <v>0</v>
      </c>
      <c r="N53" s="617"/>
      <c r="O53" s="131">
        <f>1889.55</f>
        <v>1889.55</v>
      </c>
      <c r="P53" s="364">
        <f>O53</f>
        <v>1889.55</v>
      </c>
      <c r="Q53" s="616">
        <v>0</v>
      </c>
      <c r="R53" s="617"/>
      <c r="S53" s="3">
        <v>1889.55</v>
      </c>
    </row>
    <row r="54" spans="1:19" ht="58.5" customHeight="1">
      <c r="A54" s="16">
        <v>10</v>
      </c>
      <c r="B54" s="57" t="s">
        <v>80</v>
      </c>
      <c r="C54" s="142">
        <v>775</v>
      </c>
      <c r="D54" s="319"/>
      <c r="E54" s="142"/>
      <c r="F54" s="606" t="s">
        <v>8</v>
      </c>
      <c r="G54" s="607"/>
      <c r="H54" s="319" t="s">
        <v>12</v>
      </c>
      <c r="I54" s="318"/>
      <c r="J54" s="318"/>
      <c r="K54" s="318"/>
      <c r="L54" s="3"/>
      <c r="M54" s="3"/>
      <c r="N54" s="3">
        <v>0</v>
      </c>
      <c r="O54" s="3">
        <v>120000</v>
      </c>
      <c r="P54" s="3">
        <v>0</v>
      </c>
      <c r="Q54" s="612">
        <v>0</v>
      </c>
      <c r="R54" s="613"/>
      <c r="S54" s="3">
        <f>7000+2327.06</f>
        <v>9327.06</v>
      </c>
    </row>
    <row r="55" spans="1:19" ht="58.5" customHeight="1">
      <c r="A55" s="16">
        <v>11</v>
      </c>
      <c r="B55" s="57" t="s">
        <v>107</v>
      </c>
      <c r="C55" s="142">
        <v>431</v>
      </c>
      <c r="D55" s="319"/>
      <c r="E55" s="142"/>
      <c r="F55" s="606" t="s">
        <v>13</v>
      </c>
      <c r="G55" s="607"/>
      <c r="H55" s="319" t="s">
        <v>47</v>
      </c>
      <c r="I55" s="318"/>
      <c r="J55" s="318"/>
      <c r="K55" s="318"/>
      <c r="L55" s="3"/>
      <c r="M55" s="3"/>
      <c r="N55" s="3">
        <v>0</v>
      </c>
      <c r="O55" s="3">
        <v>10000</v>
      </c>
      <c r="P55" s="3">
        <v>0</v>
      </c>
      <c r="Q55" s="612">
        <v>0</v>
      </c>
      <c r="R55" s="613"/>
      <c r="S55" s="3">
        <v>8500</v>
      </c>
    </row>
    <row r="56" spans="1:19" ht="58.5" customHeight="1">
      <c r="A56" s="16">
        <v>12</v>
      </c>
      <c r="B56" s="57" t="s">
        <v>108</v>
      </c>
      <c r="C56" s="142">
        <v>932.55</v>
      </c>
      <c r="D56" s="319"/>
      <c r="E56" s="142"/>
      <c r="F56" s="606" t="s">
        <v>13</v>
      </c>
      <c r="G56" s="607"/>
      <c r="H56" s="319" t="s">
        <v>47</v>
      </c>
      <c r="I56" s="318"/>
      <c r="J56" s="318"/>
      <c r="K56" s="318"/>
      <c r="L56" s="3"/>
      <c r="M56" s="3"/>
      <c r="N56" s="3">
        <v>0</v>
      </c>
      <c r="O56" s="3">
        <v>14000</v>
      </c>
      <c r="P56" s="3">
        <v>0</v>
      </c>
      <c r="Q56" s="612">
        <v>0</v>
      </c>
      <c r="R56" s="613"/>
      <c r="S56" s="3">
        <v>11000</v>
      </c>
    </row>
    <row r="57" spans="1:19" ht="58.5" customHeight="1" hidden="1">
      <c r="A57" s="16">
        <v>13</v>
      </c>
      <c r="B57" s="57" t="s">
        <v>109</v>
      </c>
      <c r="C57" s="142">
        <v>924</v>
      </c>
      <c r="D57" s="319"/>
      <c r="E57" s="142"/>
      <c r="F57" s="606" t="s">
        <v>13</v>
      </c>
      <c r="G57" s="607"/>
      <c r="H57" s="319" t="s">
        <v>47</v>
      </c>
      <c r="I57" s="318"/>
      <c r="J57" s="318"/>
      <c r="K57" s="318"/>
      <c r="L57" s="318"/>
      <c r="M57" s="318"/>
      <c r="N57" s="320"/>
      <c r="O57" s="320"/>
      <c r="P57" s="320"/>
      <c r="Q57" s="620"/>
      <c r="R57" s="621"/>
      <c r="S57" s="320"/>
    </row>
    <row r="58" spans="1:19" ht="58.5" customHeight="1" hidden="1">
      <c r="A58" s="16">
        <v>14</v>
      </c>
      <c r="B58" s="57" t="s">
        <v>110</v>
      </c>
      <c r="C58" s="142">
        <v>730</v>
      </c>
      <c r="D58" s="319"/>
      <c r="E58" s="142"/>
      <c r="F58" s="606" t="s">
        <v>13</v>
      </c>
      <c r="G58" s="607"/>
      <c r="H58" s="319" t="s">
        <v>47</v>
      </c>
      <c r="I58" s="318"/>
      <c r="J58" s="318"/>
      <c r="K58" s="318"/>
      <c r="L58" s="318"/>
      <c r="M58" s="318"/>
      <c r="N58" s="320"/>
      <c r="O58" s="320"/>
      <c r="P58" s="320"/>
      <c r="Q58" s="620"/>
      <c r="R58" s="621"/>
      <c r="S58" s="320"/>
    </row>
    <row r="59" spans="1:19" ht="58.5" customHeight="1" hidden="1">
      <c r="A59" s="16">
        <v>15</v>
      </c>
      <c r="B59" s="57" t="s">
        <v>112</v>
      </c>
      <c r="C59" s="142">
        <v>329</v>
      </c>
      <c r="D59" s="319"/>
      <c r="E59" s="142"/>
      <c r="F59" s="606" t="s">
        <v>13</v>
      </c>
      <c r="G59" s="607"/>
      <c r="H59" s="319" t="s">
        <v>47</v>
      </c>
      <c r="I59" s="318"/>
      <c r="J59" s="318"/>
      <c r="K59" s="318"/>
      <c r="L59" s="318"/>
      <c r="M59" s="318"/>
      <c r="N59" s="320"/>
      <c r="O59" s="320"/>
      <c r="P59" s="320"/>
      <c r="Q59" s="620"/>
      <c r="R59" s="621"/>
      <c r="S59" s="320"/>
    </row>
    <row r="60" spans="1:19" ht="58.5" customHeight="1" hidden="1">
      <c r="A60" s="16">
        <v>16</v>
      </c>
      <c r="B60" s="57" t="s">
        <v>113</v>
      </c>
      <c r="C60" s="142">
        <v>554</v>
      </c>
      <c r="D60" s="319"/>
      <c r="E60" s="142"/>
      <c r="F60" s="606" t="s">
        <v>13</v>
      </c>
      <c r="G60" s="607"/>
      <c r="H60" s="319" t="s">
        <v>47</v>
      </c>
      <c r="I60" s="318"/>
      <c r="J60" s="318"/>
      <c r="K60" s="318"/>
      <c r="L60" s="318"/>
      <c r="M60" s="318"/>
      <c r="N60" s="320"/>
      <c r="O60" s="320"/>
      <c r="P60" s="320"/>
      <c r="Q60" s="620"/>
      <c r="R60" s="621"/>
      <c r="S60" s="320"/>
    </row>
    <row r="61" spans="1:19" ht="34.5" customHeight="1">
      <c r="A61" s="4"/>
      <c r="B61" s="188" t="s">
        <v>105</v>
      </c>
      <c r="C61" s="187">
        <f>SUM(C45:C60)</f>
        <v>12481.55</v>
      </c>
      <c r="D61" s="188"/>
      <c r="E61" s="187"/>
      <c r="F61" s="188"/>
      <c r="G61" s="188"/>
      <c r="H61" s="188"/>
      <c r="I61" s="188"/>
      <c r="J61" s="188"/>
      <c r="K61" s="188"/>
      <c r="L61" s="188"/>
      <c r="M61" s="188"/>
      <c r="N61" s="24">
        <f>SUM(N45:N54)</f>
        <v>0</v>
      </c>
      <c r="O61" s="24">
        <f>SUM(O45:O54)</f>
        <v>202389.53999999998</v>
      </c>
      <c r="P61" s="24">
        <f>SUM(P45:P54)</f>
        <v>1889.55</v>
      </c>
      <c r="Q61" s="653">
        <f>SUM(Q45:R54)</f>
        <v>0</v>
      </c>
      <c r="R61" s="654"/>
      <c r="S61" s="24">
        <f>SUM(S45:S58)+S59+S60</f>
        <v>109216.59999999999</v>
      </c>
    </row>
    <row r="62" spans="1:19" ht="32.25" customHeight="1">
      <c r="A62" s="685" t="s">
        <v>29</v>
      </c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7"/>
    </row>
    <row r="63" spans="1:21" ht="45" customHeight="1">
      <c r="A63" s="4"/>
      <c r="B63" s="358" t="s">
        <v>114</v>
      </c>
      <c r="C63" s="622"/>
      <c r="D63" s="623"/>
      <c r="E63" s="5"/>
      <c r="F63" s="622"/>
      <c r="G63" s="623"/>
      <c r="H63" s="4"/>
      <c r="I63" s="683">
        <f>I32+I38</f>
        <v>1561115.8800000001</v>
      </c>
      <c r="J63" s="684"/>
      <c r="K63" s="3"/>
      <c r="L63" s="683">
        <f>L32+L38</f>
        <v>1346374.0300000003</v>
      </c>
      <c r="M63" s="684"/>
      <c r="N63" s="39">
        <f>N32+M38+N61</f>
        <v>384481.35</v>
      </c>
      <c r="O63" s="39">
        <f>O32+O38+O61</f>
        <v>1139522.4</v>
      </c>
      <c r="P63" s="39">
        <f>P32+P61</f>
        <v>80120.44</v>
      </c>
      <c r="Q63" s="683">
        <f>Q32</f>
        <v>400000</v>
      </c>
      <c r="R63" s="684"/>
      <c r="S63" s="39">
        <f>S26+S38+S61</f>
        <v>646349.46</v>
      </c>
      <c r="U63" s="238">
        <f>S63-S64</f>
        <v>388051.79999999993</v>
      </c>
    </row>
    <row r="64" spans="1:19" ht="38.25" customHeight="1">
      <c r="A64" s="118"/>
      <c r="B64" s="61" t="s">
        <v>120</v>
      </c>
      <c r="C64" s="331"/>
      <c r="D64" s="332"/>
      <c r="E64" s="119"/>
      <c r="F64" s="331"/>
      <c r="G64" s="332"/>
      <c r="H64" s="118"/>
      <c r="I64" s="254"/>
      <c r="J64" s="255"/>
      <c r="K64" s="56"/>
      <c r="L64" s="256"/>
      <c r="M64" s="126"/>
      <c r="N64" s="157"/>
      <c r="O64" s="128"/>
      <c r="P64" s="129"/>
      <c r="Q64" s="673"/>
      <c r="R64" s="673"/>
      <c r="S64" s="3">
        <v>258297.66</v>
      </c>
    </row>
    <row r="66" spans="2:19" ht="25.5">
      <c r="B66" s="350" t="s">
        <v>100</v>
      </c>
      <c r="C66" s="350"/>
      <c r="D66" s="350"/>
      <c r="E66" s="350"/>
      <c r="F66" s="350"/>
      <c r="G66" s="350"/>
      <c r="H66" s="350" t="s">
        <v>95</v>
      </c>
      <c r="I66" s="350"/>
      <c r="J66" s="173"/>
      <c r="K66" s="173"/>
      <c r="L66" s="173"/>
      <c r="M66" s="174"/>
      <c r="N66" s="174"/>
      <c r="P66" s="25"/>
      <c r="Q66" s="25"/>
      <c r="S66" s="23"/>
    </row>
    <row r="67" spans="2:14" ht="12.75">
      <c r="B67" s="352"/>
      <c r="C67" s="352"/>
      <c r="D67" s="352"/>
      <c r="E67" s="352"/>
      <c r="F67" s="352"/>
      <c r="G67" s="352"/>
      <c r="H67" s="352"/>
      <c r="I67" s="352"/>
      <c r="J67" s="174"/>
      <c r="K67" s="174"/>
      <c r="L67" s="174"/>
      <c r="M67" s="174"/>
      <c r="N67" s="174"/>
    </row>
    <row r="68" spans="2:20" ht="20.25">
      <c r="B68" s="352"/>
      <c r="C68" s="352"/>
      <c r="D68" s="352"/>
      <c r="E68" s="352"/>
      <c r="F68" s="352"/>
      <c r="G68" s="352"/>
      <c r="H68" s="352"/>
      <c r="I68" s="352"/>
      <c r="J68" s="174"/>
      <c r="K68" s="174"/>
      <c r="L68" s="174"/>
      <c r="M68" s="174"/>
      <c r="N68" s="174"/>
      <c r="S68" s="360"/>
      <c r="T68" s="359">
        <v>258</v>
      </c>
    </row>
    <row r="69" spans="2:20" ht="20.25">
      <c r="B69" s="350" t="s">
        <v>96</v>
      </c>
      <c r="C69" s="350"/>
      <c r="D69" s="350"/>
      <c r="E69" s="350"/>
      <c r="F69" s="350"/>
      <c r="G69" s="350"/>
      <c r="H69" s="350" t="s">
        <v>45</v>
      </c>
      <c r="I69" s="350"/>
      <c r="J69" s="173"/>
      <c r="K69" s="173"/>
      <c r="L69" s="173"/>
      <c r="M69" s="173"/>
      <c r="N69" s="173"/>
      <c r="S69" s="25"/>
      <c r="T69" s="359">
        <v>388</v>
      </c>
    </row>
    <row r="70" spans="2:20" ht="20.25">
      <c r="B70" s="352"/>
      <c r="C70" s="352"/>
      <c r="D70" s="352"/>
      <c r="E70" s="352"/>
      <c r="F70" s="352"/>
      <c r="G70" s="352"/>
      <c r="H70" s="352"/>
      <c r="I70" s="352"/>
      <c r="J70" s="174"/>
      <c r="K70" s="174"/>
      <c r="L70" s="174"/>
      <c r="M70" s="174"/>
      <c r="N70" s="174"/>
      <c r="T70" s="359">
        <f>SUM(T68:T70)</f>
        <v>3618246</v>
      </c>
    </row>
    <row r="71" spans="2:14" ht="12.7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ht="22.5" customHeight="1"/>
  </sheetData>
  <mergeCells count="142">
    <mergeCell ref="C63:D63"/>
    <mergeCell ref="F63:G63"/>
    <mergeCell ref="I63:J63"/>
    <mergeCell ref="L63:M63"/>
    <mergeCell ref="Q63:R63"/>
    <mergeCell ref="Q64:R64"/>
    <mergeCell ref="Q61:R61"/>
    <mergeCell ref="A62:S62"/>
    <mergeCell ref="F55:G55"/>
    <mergeCell ref="Q55:R55"/>
    <mergeCell ref="F56:G56"/>
    <mergeCell ref="Q56:R56"/>
    <mergeCell ref="Q60:R60"/>
    <mergeCell ref="F60:G60"/>
    <mergeCell ref="Q59:R59"/>
    <mergeCell ref="F59:G59"/>
    <mergeCell ref="Q58:R58"/>
    <mergeCell ref="F58:G58"/>
    <mergeCell ref="Q57:R57"/>
    <mergeCell ref="F57:G57"/>
    <mergeCell ref="D53:E53"/>
    <mergeCell ref="G53:H53"/>
    <mergeCell ref="I53:J53"/>
    <mergeCell ref="M53:N53"/>
    <mergeCell ref="Q53:R53"/>
    <mergeCell ref="F54:G54"/>
    <mergeCell ref="Q54:R54"/>
    <mergeCell ref="F50:G50"/>
    <mergeCell ref="Q50:R50"/>
    <mergeCell ref="F51:G51"/>
    <mergeCell ref="Q51:R51"/>
    <mergeCell ref="F52:G52"/>
    <mergeCell ref="Q52:R52"/>
    <mergeCell ref="F48:G48"/>
    <mergeCell ref="I48:J48"/>
    <mergeCell ref="L48:M48"/>
    <mergeCell ref="Q48:R48"/>
    <mergeCell ref="F49:G49"/>
    <mergeCell ref="I49:J49"/>
    <mergeCell ref="L49:M49"/>
    <mergeCell ref="Q49:R49"/>
    <mergeCell ref="F46:G46"/>
    <mergeCell ref="I46:J46"/>
    <mergeCell ref="L46:M46"/>
    <mergeCell ref="Q46:R46"/>
    <mergeCell ref="F47:G47"/>
    <mergeCell ref="I47:J47"/>
    <mergeCell ref="L47:M47"/>
    <mergeCell ref="Q47:R47"/>
    <mergeCell ref="I38:J38"/>
    <mergeCell ref="M38:N38"/>
    <mergeCell ref="Q38:R38"/>
    <mergeCell ref="A40:S40"/>
    <mergeCell ref="A44:S44"/>
    <mergeCell ref="F45:G45"/>
    <mergeCell ref="I45:J45"/>
    <mergeCell ref="L45:M45"/>
    <mergeCell ref="Q45:R45"/>
    <mergeCell ref="I37:J37"/>
    <mergeCell ref="M37:N37"/>
    <mergeCell ref="Q37:R37"/>
    <mergeCell ref="Q33:R33"/>
    <mergeCell ref="Q34:R34"/>
    <mergeCell ref="A35:S35"/>
    <mergeCell ref="C36:D36"/>
    <mergeCell ref="I36:J36"/>
    <mergeCell ref="L36:M36"/>
    <mergeCell ref="Q36:R36"/>
    <mergeCell ref="B29:S29"/>
    <mergeCell ref="I30:J30"/>
    <mergeCell ref="M30:N30"/>
    <mergeCell ref="Q30:R30"/>
    <mergeCell ref="Q31:R31"/>
    <mergeCell ref="A32:B32"/>
    <mergeCell ref="Q32:R32"/>
    <mergeCell ref="C27:D27"/>
    <mergeCell ref="F27:G27"/>
    <mergeCell ref="I27:J27"/>
    <mergeCell ref="L27:M27"/>
    <mergeCell ref="Q27:R27"/>
    <mergeCell ref="Q28:R28"/>
    <mergeCell ref="Q22:R22"/>
    <mergeCell ref="Q23:R23"/>
    <mergeCell ref="Q24:R24"/>
    <mergeCell ref="Q25:R25"/>
    <mergeCell ref="A26:B26"/>
    <mergeCell ref="I26:J26"/>
    <mergeCell ref="M26:N26"/>
    <mergeCell ref="Q26:R26"/>
    <mergeCell ref="D20:E20"/>
    <mergeCell ref="G20:H20"/>
    <mergeCell ref="I20:J20"/>
    <mergeCell ref="M20:N20"/>
    <mergeCell ref="Q20:R20"/>
    <mergeCell ref="I21:J21"/>
    <mergeCell ref="M21:N21"/>
    <mergeCell ref="Q21:R21"/>
    <mergeCell ref="D18:E18"/>
    <mergeCell ref="G18:H18"/>
    <mergeCell ref="I18:J18"/>
    <mergeCell ref="M18:N18"/>
    <mergeCell ref="Q18:R18"/>
    <mergeCell ref="D19:E19"/>
    <mergeCell ref="G19:H19"/>
    <mergeCell ref="I19:J19"/>
    <mergeCell ref="M19:N19"/>
    <mergeCell ref="Q19:R19"/>
    <mergeCell ref="I10:L10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D17:E17"/>
    <mergeCell ref="G17:H17"/>
    <mergeCell ref="I17:J17"/>
    <mergeCell ref="M17:N17"/>
    <mergeCell ref="Q17:R17"/>
    <mergeCell ref="C7:P7"/>
    <mergeCell ref="D14:E14"/>
    <mergeCell ref="G14:H14"/>
    <mergeCell ref="I14:J14"/>
    <mergeCell ref="M14:N14"/>
    <mergeCell ref="Q14:R14"/>
    <mergeCell ref="A15:S15"/>
    <mergeCell ref="D16:E16"/>
    <mergeCell ref="I16:J16"/>
    <mergeCell ref="M16:N16"/>
    <mergeCell ref="Q16:R16"/>
    <mergeCell ref="A9:A13"/>
    <mergeCell ref="B9:B13"/>
    <mergeCell ref="C9:C13"/>
    <mergeCell ref="D9:E13"/>
    <mergeCell ref="F9:H10"/>
    <mergeCell ref="I9:L9"/>
    <mergeCell ref="M9:N13"/>
    <mergeCell ref="O9:S9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zoomScale="69" zoomScaleNormal="69" workbookViewId="0" topLeftCell="B32">
      <selection activeCell="S13" sqref="S13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2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0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6.57421875" style="10" customWidth="1"/>
    <col min="19" max="19" width="25.28125" style="10" customWidth="1"/>
    <col min="20" max="20" width="18.8515625" style="15" customWidth="1"/>
    <col min="21" max="21" width="33.140625" style="15" customWidth="1"/>
    <col min="22" max="22" width="20.28125" style="15" customWidth="1"/>
    <col min="23" max="60" width="9.140625" style="15" customWidth="1"/>
    <col min="61" max="16384" width="9.140625" style="10" customWidth="1"/>
  </cols>
  <sheetData>
    <row r="1" spans="1:256" ht="18.75">
      <c r="A1" s="2"/>
      <c r="B1" s="189" t="s">
        <v>0</v>
      </c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190"/>
      <c r="O1" s="191"/>
      <c r="P1" s="190" t="s">
        <v>33</v>
      </c>
      <c r="Q1" s="190"/>
      <c r="R1" s="2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ht="18.75">
      <c r="A2" s="2"/>
      <c r="B2" s="189" t="s">
        <v>42</v>
      </c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90"/>
      <c r="P2" s="190" t="s">
        <v>34</v>
      </c>
      <c r="Q2" s="189"/>
      <c r="R2" s="1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ht="18.75">
      <c r="A3" s="2"/>
      <c r="B3" s="189" t="s">
        <v>5</v>
      </c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89"/>
      <c r="R3" s="1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ht="18.75">
      <c r="A4" s="2"/>
      <c r="B4" s="189" t="s">
        <v>43</v>
      </c>
      <c r="C4" s="189"/>
      <c r="D4" s="189"/>
      <c r="E4" s="189"/>
      <c r="F4" s="189" t="s">
        <v>115</v>
      </c>
      <c r="G4" s="189"/>
      <c r="H4" s="189"/>
      <c r="I4" s="189"/>
      <c r="J4" s="189"/>
      <c r="K4" s="189"/>
      <c r="L4" s="189"/>
      <c r="M4" s="189"/>
      <c r="N4" s="189"/>
      <c r="O4" s="190"/>
      <c r="P4" s="190" t="s">
        <v>62</v>
      </c>
      <c r="Q4" s="189"/>
      <c r="R4" s="1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ht="18.75">
      <c r="A5" s="2"/>
      <c r="B5" s="189" t="s">
        <v>60</v>
      </c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189"/>
      <c r="O5" s="190"/>
      <c r="P5" s="189" t="s">
        <v>35</v>
      </c>
      <c r="Q5" s="189"/>
      <c r="R5" s="2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7" spans="1:16" ht="18.75" customHeight="1">
      <c r="A7" s="11"/>
      <c r="C7" s="599" t="s">
        <v>59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ht="11.25" customHeight="1">
      <c r="A8" s="11"/>
    </row>
    <row r="9" spans="1:19" ht="43.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590" t="s">
        <v>18</v>
      </c>
      <c r="J9" s="713"/>
      <c r="K9" s="713"/>
      <c r="L9" s="591"/>
      <c r="M9" s="714" t="s">
        <v>65</v>
      </c>
      <c r="N9" s="715"/>
      <c r="O9" s="590" t="s">
        <v>68</v>
      </c>
      <c r="P9" s="713"/>
      <c r="Q9" s="713"/>
      <c r="R9" s="713"/>
      <c r="S9" s="591"/>
    </row>
    <row r="10" spans="1:19" ht="18.75" customHeight="1">
      <c r="A10" s="633"/>
      <c r="B10" s="716"/>
      <c r="C10" s="721"/>
      <c r="D10" s="716"/>
      <c r="E10" s="717"/>
      <c r="F10" s="718"/>
      <c r="G10" s="724"/>
      <c r="H10" s="719"/>
      <c r="I10" s="590" t="s">
        <v>77</v>
      </c>
      <c r="J10" s="713"/>
      <c r="K10" s="713"/>
      <c r="L10" s="591"/>
      <c r="M10" s="716"/>
      <c r="N10" s="717"/>
      <c r="O10" s="710" t="s">
        <v>19</v>
      </c>
      <c r="P10" s="713"/>
      <c r="Q10" s="713"/>
      <c r="R10" s="713"/>
      <c r="S10" s="591"/>
    </row>
    <row r="11" spans="1:19" ht="18.75" customHeight="1">
      <c r="A11" s="633"/>
      <c r="B11" s="716"/>
      <c r="C11" s="721"/>
      <c r="D11" s="716"/>
      <c r="E11" s="717"/>
      <c r="F11" s="394" t="s">
        <v>20</v>
      </c>
      <c r="G11" s="590" t="s">
        <v>21</v>
      </c>
      <c r="H11" s="591"/>
      <c r="I11" s="714" t="s">
        <v>22</v>
      </c>
      <c r="J11" s="715"/>
      <c r="K11" s="394"/>
      <c r="L11" s="720" t="s">
        <v>23</v>
      </c>
      <c r="M11" s="716"/>
      <c r="N11" s="717"/>
      <c r="O11" s="711"/>
      <c r="P11" s="715" t="s">
        <v>66</v>
      </c>
      <c r="Q11" s="714" t="s">
        <v>67</v>
      </c>
      <c r="R11" s="723"/>
      <c r="S11" s="715"/>
    </row>
    <row r="12" spans="1:19" ht="18.75" customHeight="1">
      <c r="A12" s="633"/>
      <c r="B12" s="716"/>
      <c r="C12" s="721"/>
      <c r="D12" s="716"/>
      <c r="E12" s="717"/>
      <c r="F12" s="394" t="s">
        <v>69</v>
      </c>
      <c r="G12" s="590" t="s">
        <v>69</v>
      </c>
      <c r="H12" s="591"/>
      <c r="I12" s="716"/>
      <c r="J12" s="717"/>
      <c r="K12" s="394"/>
      <c r="L12" s="721"/>
      <c r="M12" s="716"/>
      <c r="N12" s="717"/>
      <c r="O12" s="711"/>
      <c r="P12" s="717"/>
      <c r="Q12" s="718"/>
      <c r="R12" s="724"/>
      <c r="S12" s="719"/>
    </row>
    <row r="13" spans="1:19" ht="131.25" customHeight="1">
      <c r="A13" s="634"/>
      <c r="B13" s="718"/>
      <c r="C13" s="722"/>
      <c r="D13" s="718"/>
      <c r="E13" s="719"/>
      <c r="F13" s="394" t="s">
        <v>63</v>
      </c>
      <c r="G13" s="590" t="s">
        <v>64</v>
      </c>
      <c r="H13" s="591"/>
      <c r="I13" s="718"/>
      <c r="J13" s="719"/>
      <c r="K13" s="394"/>
      <c r="L13" s="722"/>
      <c r="M13" s="718"/>
      <c r="N13" s="719"/>
      <c r="O13" s="712"/>
      <c r="P13" s="719"/>
      <c r="Q13" s="590" t="s">
        <v>24</v>
      </c>
      <c r="R13" s="591"/>
      <c r="S13" s="394" t="s">
        <v>25</v>
      </c>
    </row>
    <row r="14" spans="1:19" ht="18.75">
      <c r="A14" s="13">
        <v>1</v>
      </c>
      <c r="B14" s="391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708">
        <v>7</v>
      </c>
      <c r="J14" s="709"/>
      <c r="K14" s="158"/>
      <c r="L14" s="158">
        <v>8</v>
      </c>
      <c r="M14" s="708">
        <v>9</v>
      </c>
      <c r="N14" s="709"/>
      <c r="O14" s="192">
        <v>10</v>
      </c>
      <c r="P14" s="392">
        <v>11</v>
      </c>
      <c r="Q14" s="708">
        <v>12</v>
      </c>
      <c r="R14" s="709"/>
      <c r="S14" s="391">
        <v>13</v>
      </c>
    </row>
    <row r="15" spans="1:19" ht="23.25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6"/>
    </row>
    <row r="16" spans="1:19" ht="65.25" customHeight="1">
      <c r="A16" s="16">
        <v>1</v>
      </c>
      <c r="B16" s="388" t="s">
        <v>48</v>
      </c>
      <c r="C16" s="386">
        <v>567</v>
      </c>
      <c r="D16" s="612">
        <v>567</v>
      </c>
      <c r="E16" s="613"/>
      <c r="F16" s="42" t="s">
        <v>76</v>
      </c>
      <c r="G16" s="42"/>
      <c r="H16" s="42" t="s">
        <v>75</v>
      </c>
      <c r="I16" s="612">
        <v>75245</v>
      </c>
      <c r="J16" s="613"/>
      <c r="K16" s="93">
        <v>0.9</v>
      </c>
      <c r="L16" s="386">
        <f aca="true" t="shared" si="0" ref="L16:L21">M16+O16</f>
        <v>69955.08</v>
      </c>
      <c r="M16" s="612">
        <v>63452.68</v>
      </c>
      <c r="N16" s="613"/>
      <c r="O16" s="42">
        <f>Q16+S16</f>
        <v>6502.4</v>
      </c>
      <c r="P16" s="382">
        <f>0</f>
        <v>0</v>
      </c>
      <c r="Q16" s="612">
        <f>0</f>
        <v>0</v>
      </c>
      <c r="R16" s="613"/>
      <c r="S16" s="386">
        <v>6502.4</v>
      </c>
    </row>
    <row r="17" spans="1:19" ht="66.75" customHeight="1">
      <c r="A17" s="16">
        <v>2</v>
      </c>
      <c r="B17" s="22" t="s">
        <v>44</v>
      </c>
      <c r="C17" s="386">
        <v>377</v>
      </c>
      <c r="D17" s="612">
        <v>377</v>
      </c>
      <c r="E17" s="613"/>
      <c r="F17" s="42" t="s">
        <v>76</v>
      </c>
      <c r="G17" s="627" t="s">
        <v>11</v>
      </c>
      <c r="H17" s="628"/>
      <c r="I17" s="612">
        <v>106395</v>
      </c>
      <c r="J17" s="613"/>
      <c r="K17" s="94">
        <v>0.9</v>
      </c>
      <c r="L17" s="386">
        <f t="shared" si="0"/>
        <v>96255.54</v>
      </c>
      <c r="M17" s="612">
        <v>3576.03</v>
      </c>
      <c r="N17" s="613"/>
      <c r="O17" s="42">
        <f>Q17+S17</f>
        <v>92679.51</v>
      </c>
      <c r="P17" s="382">
        <f>0</f>
        <v>0</v>
      </c>
      <c r="Q17" s="612">
        <v>72000</v>
      </c>
      <c r="R17" s="613"/>
      <c r="S17" s="386">
        <v>20679.51</v>
      </c>
    </row>
    <row r="18" spans="1:19" ht="44.25" customHeight="1">
      <c r="A18" s="16">
        <v>3</v>
      </c>
      <c r="B18" s="388" t="s">
        <v>30</v>
      </c>
      <c r="C18" s="386">
        <v>502</v>
      </c>
      <c r="D18" s="612">
        <v>502</v>
      </c>
      <c r="E18" s="613"/>
      <c r="F18" s="42" t="s">
        <v>76</v>
      </c>
      <c r="G18" s="627" t="s">
        <v>11</v>
      </c>
      <c r="H18" s="628"/>
      <c r="I18" s="612">
        <v>99451</v>
      </c>
      <c r="J18" s="613"/>
      <c r="K18" s="94">
        <v>0.9</v>
      </c>
      <c r="L18" s="386">
        <f t="shared" si="0"/>
        <v>92937.2</v>
      </c>
      <c r="M18" s="612">
        <v>20602.2</v>
      </c>
      <c r="N18" s="613"/>
      <c r="O18" s="42">
        <f>Q18+S18</f>
        <v>72335</v>
      </c>
      <c r="P18" s="382">
        <f>0</f>
        <v>0</v>
      </c>
      <c r="Q18" s="612">
        <v>43335</v>
      </c>
      <c r="R18" s="613"/>
      <c r="S18" s="386">
        <v>29000</v>
      </c>
    </row>
    <row r="19" spans="1:19" ht="54" customHeight="1">
      <c r="A19" s="16">
        <v>4</v>
      </c>
      <c r="B19" s="404" t="s">
        <v>37</v>
      </c>
      <c r="C19" s="405">
        <v>1064</v>
      </c>
      <c r="D19" s="734">
        <v>1064</v>
      </c>
      <c r="E19" s="735"/>
      <c r="F19" s="405" t="s">
        <v>76</v>
      </c>
      <c r="G19" s="734" t="s">
        <v>12</v>
      </c>
      <c r="H19" s="735"/>
      <c r="I19" s="734">
        <v>114278</v>
      </c>
      <c r="J19" s="735"/>
      <c r="K19" s="406">
        <v>0.9</v>
      </c>
      <c r="L19" s="405">
        <f t="shared" si="0"/>
        <v>90793.62</v>
      </c>
      <c r="M19" s="734">
        <v>39655.74</v>
      </c>
      <c r="N19" s="735"/>
      <c r="O19" s="405">
        <f>Q19+S19</f>
        <v>51137.880000000005</v>
      </c>
      <c r="P19" s="407">
        <f>0</f>
        <v>0</v>
      </c>
      <c r="Q19" s="734">
        <v>40298.87</v>
      </c>
      <c r="R19" s="735"/>
      <c r="S19" s="405">
        <f>(3000+39850.2)-14839.89-19541+2369.7</f>
        <v>10839.009999999998</v>
      </c>
    </row>
    <row r="20" spans="1:20" ht="39" customHeight="1">
      <c r="A20" s="82">
        <v>5</v>
      </c>
      <c r="B20" s="401" t="s">
        <v>38</v>
      </c>
      <c r="C20" s="402">
        <v>1329</v>
      </c>
      <c r="D20" s="732">
        <v>1329</v>
      </c>
      <c r="E20" s="733"/>
      <c r="F20" s="39" t="s">
        <v>76</v>
      </c>
      <c r="G20" s="732" t="s">
        <v>11</v>
      </c>
      <c r="H20" s="733"/>
      <c r="I20" s="683">
        <v>140749</v>
      </c>
      <c r="J20" s="684"/>
      <c r="K20" s="403">
        <v>0.9</v>
      </c>
      <c r="L20" s="39">
        <f t="shared" si="0"/>
        <v>117514.59</v>
      </c>
      <c r="M20" s="732">
        <v>14514.59</v>
      </c>
      <c r="N20" s="733"/>
      <c r="O20" s="39">
        <f>Q20+S20</f>
        <v>103000</v>
      </c>
      <c r="P20" s="400">
        <f>0</f>
        <v>0</v>
      </c>
      <c r="Q20" s="683">
        <f>72163-15000</f>
        <v>57163</v>
      </c>
      <c r="R20" s="684"/>
      <c r="S20" s="39">
        <v>45837</v>
      </c>
      <c r="T20" s="251"/>
    </row>
    <row r="21" spans="1:61" s="89" customFormat="1" ht="60" customHeight="1">
      <c r="A21" s="16">
        <v>6</v>
      </c>
      <c r="B21" s="388" t="s">
        <v>56</v>
      </c>
      <c r="C21" s="386">
        <v>549</v>
      </c>
      <c r="D21" s="386"/>
      <c r="E21" s="386">
        <f>C21</f>
        <v>549</v>
      </c>
      <c r="F21" s="386" t="s">
        <v>76</v>
      </c>
      <c r="G21" s="386"/>
      <c r="H21" s="386" t="s">
        <v>11</v>
      </c>
      <c r="I21" s="612">
        <v>104103</v>
      </c>
      <c r="J21" s="613"/>
      <c r="K21" s="93">
        <v>0.9</v>
      </c>
      <c r="L21" s="386">
        <f t="shared" si="0"/>
        <v>94255.86</v>
      </c>
      <c r="M21" s="612">
        <v>59255.86</v>
      </c>
      <c r="N21" s="613"/>
      <c r="O21" s="386">
        <f>P21+Q21+S21</f>
        <v>35000</v>
      </c>
      <c r="P21" s="382">
        <f>0</f>
        <v>0</v>
      </c>
      <c r="Q21" s="612">
        <f>0</f>
        <v>0</v>
      </c>
      <c r="R21" s="613"/>
      <c r="S21" s="386">
        <v>35000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48"/>
    </row>
    <row r="22" spans="1:19" s="15" customFormat="1" ht="40.5" customHeight="1">
      <c r="A22" s="16">
        <v>7</v>
      </c>
      <c r="B22" s="408" t="s">
        <v>10</v>
      </c>
      <c r="C22" s="386">
        <v>1717</v>
      </c>
      <c r="D22" s="386"/>
      <c r="E22" s="386">
        <f>C22</f>
        <v>1717</v>
      </c>
      <c r="F22" s="386" t="s">
        <v>11</v>
      </c>
      <c r="G22" s="386"/>
      <c r="H22" s="386" t="s">
        <v>7</v>
      </c>
      <c r="I22" s="381">
        <v>170000</v>
      </c>
      <c r="J22" s="382">
        <f>SUM(I22)</f>
        <v>170000</v>
      </c>
      <c r="K22" s="20">
        <v>0.9</v>
      </c>
      <c r="L22" s="386">
        <f>O22</f>
        <v>166215.82</v>
      </c>
      <c r="M22" s="361"/>
      <c r="N22" s="382">
        <v>0</v>
      </c>
      <c r="O22" s="386">
        <f>Q22+S22</f>
        <v>166215.82</v>
      </c>
      <c r="P22" s="382">
        <f>0</f>
        <v>0</v>
      </c>
      <c r="Q22" s="612">
        <f>37800+10349.82-19000</f>
        <v>29149.82</v>
      </c>
      <c r="R22" s="613"/>
      <c r="S22" s="386">
        <f>87066-10000+60000</f>
        <v>137066</v>
      </c>
    </row>
    <row r="23" spans="1:19" s="15" customFormat="1" ht="38.25" customHeight="1">
      <c r="A23" s="16">
        <v>8</v>
      </c>
      <c r="B23" s="57" t="s">
        <v>79</v>
      </c>
      <c r="C23" s="386">
        <v>711.8</v>
      </c>
      <c r="D23" s="386"/>
      <c r="E23" s="386">
        <f>C23</f>
        <v>711.8</v>
      </c>
      <c r="F23" s="386" t="s">
        <v>12</v>
      </c>
      <c r="G23" s="386" t="s">
        <v>9</v>
      </c>
      <c r="H23" s="386" t="s">
        <v>9</v>
      </c>
      <c r="I23" s="381">
        <v>117314.16</v>
      </c>
      <c r="J23" s="382">
        <f>SUM(I23)</f>
        <v>117314.16</v>
      </c>
      <c r="K23" s="20">
        <v>0.9</v>
      </c>
      <c r="L23" s="386">
        <f>O23</f>
        <v>107628.16</v>
      </c>
      <c r="M23" s="361"/>
      <c r="N23" s="382">
        <v>0</v>
      </c>
      <c r="O23" s="386">
        <f>Q23+S23</f>
        <v>107628.16</v>
      </c>
      <c r="P23" s="382">
        <f>0</f>
        <v>0</v>
      </c>
      <c r="Q23" s="612">
        <f>23000+19000+15536.08-20000-6203</f>
        <v>31333.08</v>
      </c>
      <c r="R23" s="613"/>
      <c r="S23" s="386">
        <v>76295.08</v>
      </c>
    </row>
    <row r="24" spans="1:19" s="15" customFormat="1" ht="55.5" customHeight="1">
      <c r="A24" s="16">
        <v>9</v>
      </c>
      <c r="B24" s="58" t="s">
        <v>82</v>
      </c>
      <c r="C24" s="386">
        <v>610</v>
      </c>
      <c r="D24" s="386"/>
      <c r="E24" s="386">
        <f>C24</f>
        <v>610</v>
      </c>
      <c r="F24" s="386" t="s">
        <v>12</v>
      </c>
      <c r="G24" s="386" t="s">
        <v>9</v>
      </c>
      <c r="H24" s="386" t="s">
        <v>9</v>
      </c>
      <c r="I24" s="381">
        <v>122000</v>
      </c>
      <c r="J24" s="382">
        <f>SUM(I24)</f>
        <v>122000</v>
      </c>
      <c r="K24" s="20">
        <v>0.9</v>
      </c>
      <c r="L24" s="386">
        <f>O24</f>
        <v>111019.99999999999</v>
      </c>
      <c r="M24" s="361"/>
      <c r="N24" s="382">
        <v>0</v>
      </c>
      <c r="O24" s="386">
        <f>Q24+S24</f>
        <v>111019.99999999999</v>
      </c>
      <c r="P24" s="382">
        <f>0</f>
        <v>0</v>
      </c>
      <c r="Q24" s="612">
        <f>19000+10000+2609.49-20000+23978.71-8126.2-6203+1378.6</f>
        <v>22637.599999999995</v>
      </c>
      <c r="R24" s="613"/>
      <c r="S24" s="386">
        <v>88382.4</v>
      </c>
    </row>
    <row r="25" spans="1:19" s="15" customFormat="1" ht="53.25" customHeight="1">
      <c r="A25" s="16">
        <v>10</v>
      </c>
      <c r="B25" s="57" t="s">
        <v>58</v>
      </c>
      <c r="C25" s="386">
        <v>601</v>
      </c>
      <c r="D25" s="386"/>
      <c r="E25" s="386">
        <f>C25</f>
        <v>601</v>
      </c>
      <c r="F25" s="386" t="s">
        <v>11</v>
      </c>
      <c r="G25" s="386" t="s">
        <v>9</v>
      </c>
      <c r="H25" s="386" t="s">
        <v>13</v>
      </c>
      <c r="I25" s="381">
        <v>120200</v>
      </c>
      <c r="J25" s="382">
        <f>SUM(I25)</f>
        <v>120200</v>
      </c>
      <c r="K25" s="20">
        <v>0.9</v>
      </c>
      <c r="L25" s="386">
        <f>O25</f>
        <v>109382</v>
      </c>
      <c r="M25" s="361"/>
      <c r="N25" s="382">
        <v>0</v>
      </c>
      <c r="O25" s="386">
        <f>Q25+S25</f>
        <v>109382</v>
      </c>
      <c r="P25" s="382">
        <f>0</f>
        <v>0</v>
      </c>
      <c r="Q25" s="612">
        <f>22000+38000-944.77-27000-6203-0.49</f>
        <v>25851.74</v>
      </c>
      <c r="R25" s="613"/>
      <c r="S25" s="386">
        <v>83530.26</v>
      </c>
    </row>
    <row r="26" spans="1:21" ht="42" customHeight="1">
      <c r="A26" s="689"/>
      <c r="B26" s="690"/>
      <c r="C26" s="368">
        <f>SUM(C16:C25)</f>
        <v>8027.8</v>
      </c>
      <c r="D26" s="368">
        <f>SUM(D16:D25)</f>
        <v>3839</v>
      </c>
      <c r="E26" s="368">
        <v>8027.8</v>
      </c>
      <c r="F26" s="368"/>
      <c r="G26" s="368"/>
      <c r="H26" s="368"/>
      <c r="I26" s="683">
        <f>SUM(I16:I25)</f>
        <v>1169735.1600000001</v>
      </c>
      <c r="J26" s="684"/>
      <c r="K26" s="389"/>
      <c r="L26" s="368">
        <f>SUM(L16:L25)</f>
        <v>1055957.87</v>
      </c>
      <c r="M26" s="700">
        <f>SUM(M16:M25)</f>
        <v>201057.09999999998</v>
      </c>
      <c r="N26" s="701"/>
      <c r="O26" s="368">
        <f>SUM(O16:O25)</f>
        <v>854900.77</v>
      </c>
      <c r="P26" s="368">
        <v>0</v>
      </c>
      <c r="Q26" s="700">
        <f>SUM(Q16:R25)</f>
        <v>321769.11</v>
      </c>
      <c r="R26" s="701"/>
      <c r="S26" s="39">
        <f>SUM(S16:S25)</f>
        <v>533131.66</v>
      </c>
      <c r="T26" s="252"/>
      <c r="U26" s="154">
        <f>Q26-400000</f>
        <v>-78230.89000000001</v>
      </c>
    </row>
    <row r="27" spans="1:19" ht="51.75" customHeight="1" hidden="1">
      <c r="A27" s="16"/>
      <c r="B27" s="57" t="s">
        <v>46</v>
      </c>
      <c r="C27" s="694"/>
      <c r="D27" s="695"/>
      <c r="E27" s="155"/>
      <c r="F27" s="694"/>
      <c r="G27" s="695"/>
      <c r="H27" s="16"/>
      <c r="I27" s="694"/>
      <c r="J27" s="695"/>
      <c r="K27" s="16"/>
      <c r="L27" s="694"/>
      <c r="M27" s="695"/>
      <c r="N27" s="16"/>
      <c r="O27" s="156"/>
      <c r="P27" s="13"/>
      <c r="Q27" s="696"/>
      <c r="R27" s="695"/>
      <c r="S27" s="374"/>
    </row>
    <row r="28" spans="1:20" ht="26.25" customHeight="1" hidden="1">
      <c r="A28" s="16"/>
      <c r="B28" s="56" t="s">
        <v>84</v>
      </c>
      <c r="C28" s="16"/>
      <c r="D28" s="16"/>
      <c r="E28" s="155"/>
      <c r="F28" s="16"/>
      <c r="G28" s="16"/>
      <c r="H28" s="16"/>
      <c r="I28" s="16"/>
      <c r="J28" s="16"/>
      <c r="K28" s="16"/>
      <c r="L28" s="16"/>
      <c r="M28" s="16"/>
      <c r="N28" s="16"/>
      <c r="O28" s="156"/>
      <c r="P28" s="13"/>
      <c r="Q28" s="697"/>
      <c r="R28" s="697"/>
      <c r="S28" s="374">
        <v>258297.66</v>
      </c>
      <c r="T28" s="238"/>
    </row>
    <row r="29" spans="1:21" ht="26.25" customHeight="1">
      <c r="A29" s="16"/>
      <c r="B29" s="594" t="s">
        <v>104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  <c r="U29" s="242"/>
    </row>
    <row r="30" spans="1:19" ht="65.25" customHeight="1">
      <c r="A30" s="16">
        <v>1</v>
      </c>
      <c r="B30" s="57" t="s">
        <v>88</v>
      </c>
      <c r="C30" s="18">
        <v>717</v>
      </c>
      <c r="D30" s="384"/>
      <c r="E30" s="393"/>
      <c r="F30" s="394"/>
      <c r="G30" s="394"/>
      <c r="H30" s="394"/>
      <c r="I30" s="612">
        <v>113514</v>
      </c>
      <c r="J30" s="613"/>
      <c r="K30" s="386">
        <v>0.9</v>
      </c>
      <c r="L30" s="386">
        <f>M30+O30</f>
        <v>91482.12</v>
      </c>
      <c r="M30" s="612">
        <v>40967.75</v>
      </c>
      <c r="N30" s="613"/>
      <c r="O30" s="386">
        <f>Q30+S30</f>
        <v>50514.37</v>
      </c>
      <c r="P30" s="382">
        <f>Q30</f>
        <v>50514.37</v>
      </c>
      <c r="Q30" s="612">
        <v>50514.37</v>
      </c>
      <c r="R30" s="613"/>
      <c r="S30" s="386">
        <v>0</v>
      </c>
    </row>
    <row r="31" spans="1:20" ht="57.75" customHeight="1">
      <c r="A31" s="16">
        <v>2</v>
      </c>
      <c r="B31" s="57" t="s">
        <v>89</v>
      </c>
      <c r="C31" s="18">
        <v>959.7</v>
      </c>
      <c r="D31" s="394"/>
      <c r="E31" s="18"/>
      <c r="F31" s="394"/>
      <c r="G31" s="394"/>
      <c r="H31" s="394"/>
      <c r="I31" s="381">
        <v>74778</v>
      </c>
      <c r="J31" s="382">
        <f>SUM(I31)</f>
        <v>74778</v>
      </c>
      <c r="K31" s="20"/>
      <c r="L31" s="386">
        <f>N31+O31</f>
        <v>56861.130000000005</v>
      </c>
      <c r="M31" s="361"/>
      <c r="N31" s="382">
        <v>29144.61</v>
      </c>
      <c r="O31" s="386">
        <f>Q31+S31</f>
        <v>27716.52</v>
      </c>
      <c r="P31" s="382">
        <f>Q31</f>
        <v>27716.52</v>
      </c>
      <c r="Q31" s="612">
        <v>27716.52</v>
      </c>
      <c r="R31" s="613"/>
      <c r="S31" s="386">
        <v>0</v>
      </c>
      <c r="T31" s="153">
        <v>29144.61</v>
      </c>
    </row>
    <row r="32" spans="1:19" ht="26.25" customHeight="1">
      <c r="A32" s="689" t="s">
        <v>94</v>
      </c>
      <c r="B32" s="690"/>
      <c r="C32" s="313">
        <f>C26+C30+C31</f>
        <v>9704.5</v>
      </c>
      <c r="D32" s="180">
        <f>D26+D30+D31</f>
        <v>3839</v>
      </c>
      <c r="E32" s="180"/>
      <c r="F32" s="179"/>
      <c r="G32" s="179"/>
      <c r="H32" s="179"/>
      <c r="I32" s="181">
        <f>I26+I30+I31</f>
        <v>1358027.1600000001</v>
      </c>
      <c r="J32" s="181">
        <f>J26+J30+J31</f>
        <v>74778</v>
      </c>
      <c r="K32" s="181">
        <f>K26+K30+K31</f>
        <v>0.9</v>
      </c>
      <c r="L32" s="181">
        <f>L26+L30+L31</f>
        <v>1204301.12</v>
      </c>
      <c r="M32" s="181">
        <f>M26+M30+M31</f>
        <v>242024.84999999998</v>
      </c>
      <c r="N32" s="181">
        <f>M26+M30+N31</f>
        <v>271169.45999999996</v>
      </c>
      <c r="O32" s="181">
        <f>O26+O30+O31</f>
        <v>933131.66</v>
      </c>
      <c r="P32" s="369">
        <f>SUM(P30:P31)</f>
        <v>78230.89</v>
      </c>
      <c r="Q32" s="729">
        <f>Q26+Q30+Q31</f>
        <v>400000</v>
      </c>
      <c r="R32" s="730"/>
      <c r="S32" s="39">
        <f>S26</f>
        <v>533131.66</v>
      </c>
    </row>
    <row r="33" spans="1:19" ht="26.25" customHeight="1" hidden="1">
      <c r="A33" s="388"/>
      <c r="B33" s="59"/>
      <c r="C33" s="168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168"/>
      <c r="O33" s="170"/>
      <c r="P33" s="171"/>
      <c r="Q33" s="693">
        <v>400000</v>
      </c>
      <c r="R33" s="693"/>
      <c r="S33" s="380"/>
    </row>
    <row r="34" spans="1:19" ht="26.25" customHeight="1" hidden="1">
      <c r="A34" s="388"/>
      <c r="B34" s="59"/>
      <c r="C34" s="168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168"/>
      <c r="O34" s="170"/>
      <c r="P34" s="171"/>
      <c r="Q34" s="693">
        <f>Q26+Q30+Q31</f>
        <v>400000</v>
      </c>
      <c r="R34" s="693"/>
      <c r="S34" s="380"/>
    </row>
    <row r="35" spans="1:19" ht="36.75" customHeight="1">
      <c r="A35" s="685" t="s">
        <v>27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</row>
    <row r="36" spans="1:60" s="113" customFormat="1" ht="80.25" customHeight="1">
      <c r="A36" s="16">
        <v>1</v>
      </c>
      <c r="B36" s="388" t="s">
        <v>52</v>
      </c>
      <c r="C36" s="590">
        <v>581</v>
      </c>
      <c r="D36" s="591"/>
      <c r="E36" s="18" t="s">
        <v>39</v>
      </c>
      <c r="F36" s="394" t="s">
        <v>76</v>
      </c>
      <c r="G36" s="394" t="s">
        <v>76</v>
      </c>
      <c r="H36" s="395" t="s">
        <v>7</v>
      </c>
      <c r="I36" s="612">
        <v>84544</v>
      </c>
      <c r="J36" s="613"/>
      <c r="K36" s="381"/>
      <c r="L36" s="612">
        <v>73959.7</v>
      </c>
      <c r="M36" s="613"/>
      <c r="N36" s="386">
        <v>62641.85</v>
      </c>
      <c r="O36" s="386">
        <v>1973.18</v>
      </c>
      <c r="P36" s="386">
        <f>0</f>
        <v>0</v>
      </c>
      <c r="Q36" s="612">
        <f>0</f>
        <v>0</v>
      </c>
      <c r="R36" s="613"/>
      <c r="S36" s="386">
        <f>1973.18</f>
        <v>1973.18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s="113" customFormat="1" ht="78" customHeight="1">
      <c r="A37" s="16">
        <v>2</v>
      </c>
      <c r="B37" s="388" t="s">
        <v>53</v>
      </c>
      <c r="C37" s="18">
        <v>405</v>
      </c>
      <c r="D37" s="394"/>
      <c r="E37" s="394" t="s">
        <v>39</v>
      </c>
      <c r="F37" s="394" t="s">
        <v>76</v>
      </c>
      <c r="G37" s="394" t="s">
        <v>76</v>
      </c>
      <c r="H37" s="394" t="s">
        <v>7</v>
      </c>
      <c r="I37" s="612">
        <v>68226</v>
      </c>
      <c r="J37" s="613"/>
      <c r="K37" s="20">
        <v>0.9</v>
      </c>
      <c r="L37" s="386">
        <v>60339.6</v>
      </c>
      <c r="M37" s="612">
        <v>50670.04</v>
      </c>
      <c r="N37" s="613"/>
      <c r="O37" s="386">
        <f>'[1]Подрядный способ'!$J$5</f>
        <v>2028.02</v>
      </c>
      <c r="P37" s="382">
        <f>0</f>
        <v>0</v>
      </c>
      <c r="Q37" s="612">
        <f>0</f>
        <v>0</v>
      </c>
      <c r="R37" s="613"/>
      <c r="S37" s="386">
        <f>O37</f>
        <v>2028.02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19" ht="38.25" customHeight="1">
      <c r="A38" s="4"/>
      <c r="B38" s="185" t="s">
        <v>92</v>
      </c>
      <c r="C38" s="34"/>
      <c r="D38" s="35"/>
      <c r="E38" s="35"/>
      <c r="F38" s="35"/>
      <c r="G38" s="35"/>
      <c r="H38" s="35"/>
      <c r="I38" s="683">
        <f>SUM(I36:J37)</f>
        <v>152770</v>
      </c>
      <c r="J38" s="684"/>
      <c r="K38" s="38"/>
      <c r="L38" s="39">
        <f>SUM(L36:L37)</f>
        <v>134299.3</v>
      </c>
      <c r="M38" s="683">
        <f>SUM(M36:N37)</f>
        <v>113311.89</v>
      </c>
      <c r="N38" s="684"/>
      <c r="O38" s="39">
        <f>P38+Q38+S38</f>
        <v>4001.2</v>
      </c>
      <c r="P38" s="376"/>
      <c r="Q38" s="653">
        <f>SUM(Q36:R37)</f>
        <v>0</v>
      </c>
      <c r="R38" s="688"/>
      <c r="S38" s="39">
        <f>SUM(S36:S37)</f>
        <v>4001.2</v>
      </c>
    </row>
    <row r="39" spans="1:19" ht="42" customHeight="1" hidden="1">
      <c r="A39" s="4"/>
      <c r="B39" s="6" t="s">
        <v>46</v>
      </c>
      <c r="C39" s="34"/>
      <c r="D39" s="35"/>
      <c r="E39" s="35"/>
      <c r="F39" s="35"/>
      <c r="G39" s="35"/>
      <c r="H39" s="35"/>
      <c r="I39" s="381"/>
      <c r="J39" s="385"/>
      <c r="K39" s="253"/>
      <c r="L39" s="386"/>
      <c r="M39" s="377"/>
      <c r="N39" s="382"/>
      <c r="O39" s="39"/>
      <c r="P39" s="376"/>
      <c r="Q39" s="375"/>
      <c r="R39" s="387"/>
      <c r="S39" s="39">
        <f>S38</f>
        <v>4001.2</v>
      </c>
    </row>
    <row r="40" spans="1:19" ht="0.75" customHeight="1" hidden="1">
      <c r="A40" s="655" t="s">
        <v>28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7"/>
    </row>
    <row r="41" spans="1:60" s="45" customFormat="1" ht="75.75" customHeight="1" hidden="1">
      <c r="A41" s="8" t="s">
        <v>41</v>
      </c>
      <c r="B41" s="378" t="s">
        <v>41</v>
      </c>
      <c r="C41" s="46" t="s">
        <v>41</v>
      </c>
      <c r="D41" s="8"/>
      <c r="E41" s="8" t="s">
        <v>41</v>
      </c>
      <c r="F41" s="8" t="s">
        <v>41</v>
      </c>
      <c r="G41" s="8"/>
      <c r="H41" s="8" t="s">
        <v>41</v>
      </c>
      <c r="I41" s="381" t="s">
        <v>41</v>
      </c>
      <c r="J41" s="385"/>
      <c r="K41" s="385"/>
      <c r="L41" s="386" t="s">
        <v>41</v>
      </c>
      <c r="M41" s="390"/>
      <c r="N41" s="382" t="s">
        <v>41</v>
      </c>
      <c r="O41" s="42" t="s">
        <v>41</v>
      </c>
      <c r="P41" s="399" t="s">
        <v>41</v>
      </c>
      <c r="Q41" s="398" t="s">
        <v>41</v>
      </c>
      <c r="R41" s="379"/>
      <c r="S41" s="390" t="s">
        <v>41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s="45" customFormat="1" ht="33.75" customHeight="1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19" ht="46.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24.75" customHeight="1">
      <c r="A44" s="594" t="s">
        <v>51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6"/>
    </row>
    <row r="45" spans="1:19" ht="60.75" customHeight="1">
      <c r="A45" s="16" t="s">
        <v>71</v>
      </c>
      <c r="B45" s="61" t="s">
        <v>10</v>
      </c>
      <c r="C45" s="142">
        <v>1717</v>
      </c>
      <c r="D45" s="395"/>
      <c r="E45" s="142"/>
      <c r="F45" s="606" t="s">
        <v>74</v>
      </c>
      <c r="G45" s="607"/>
      <c r="H45" s="395" t="s">
        <v>75</v>
      </c>
      <c r="I45" s="590"/>
      <c r="J45" s="591"/>
      <c r="K45" s="384"/>
      <c r="L45" s="612"/>
      <c r="M45" s="613"/>
      <c r="N45" s="386">
        <v>0</v>
      </c>
      <c r="O45" s="386">
        <v>12000</v>
      </c>
      <c r="P45" s="386">
        <v>0</v>
      </c>
      <c r="Q45" s="612">
        <v>0</v>
      </c>
      <c r="R45" s="613"/>
      <c r="S45" s="386">
        <f>O45</f>
        <v>12000</v>
      </c>
    </row>
    <row r="46" spans="1:19" ht="63.75" customHeight="1">
      <c r="A46" s="16">
        <v>2</v>
      </c>
      <c r="B46" s="61" t="s">
        <v>55</v>
      </c>
      <c r="C46" s="142">
        <v>1206</v>
      </c>
      <c r="D46" s="395"/>
      <c r="E46" s="142"/>
      <c r="F46" s="606" t="s">
        <v>86</v>
      </c>
      <c r="G46" s="607"/>
      <c r="H46" s="395" t="s">
        <v>13</v>
      </c>
      <c r="I46" s="590"/>
      <c r="J46" s="591"/>
      <c r="K46" s="394"/>
      <c r="L46" s="612"/>
      <c r="M46" s="613"/>
      <c r="N46" s="386">
        <v>0</v>
      </c>
      <c r="O46" s="386">
        <v>12000</v>
      </c>
      <c r="P46" s="386">
        <f>0</f>
        <v>0</v>
      </c>
      <c r="Q46" s="612">
        <f>0</f>
        <v>0</v>
      </c>
      <c r="R46" s="613"/>
      <c r="S46" s="386">
        <v>11000</v>
      </c>
    </row>
    <row r="47" spans="1:19" ht="62.25" customHeight="1">
      <c r="A47" s="16">
        <v>3</v>
      </c>
      <c r="B47" s="56" t="s">
        <v>83</v>
      </c>
      <c r="C47" s="142">
        <v>514</v>
      </c>
      <c r="D47" s="395"/>
      <c r="E47" s="142"/>
      <c r="F47" s="606" t="s">
        <v>13</v>
      </c>
      <c r="G47" s="607"/>
      <c r="H47" s="395" t="s">
        <v>9</v>
      </c>
      <c r="I47" s="590"/>
      <c r="J47" s="591"/>
      <c r="K47" s="394"/>
      <c r="L47" s="612"/>
      <c r="M47" s="613"/>
      <c r="N47" s="386">
        <v>0</v>
      </c>
      <c r="O47" s="386">
        <f>S47</f>
        <v>8000</v>
      </c>
      <c r="P47" s="386">
        <f>0</f>
        <v>0</v>
      </c>
      <c r="Q47" s="612">
        <f>0</f>
        <v>0</v>
      </c>
      <c r="R47" s="613"/>
      <c r="S47" s="386">
        <v>8000</v>
      </c>
    </row>
    <row r="48" spans="1:19" ht="60.75" customHeight="1">
      <c r="A48" s="16">
        <v>4</v>
      </c>
      <c r="B48" s="61" t="s">
        <v>93</v>
      </c>
      <c r="C48" s="18">
        <v>365</v>
      </c>
      <c r="D48" s="395"/>
      <c r="E48" s="142"/>
      <c r="F48" s="606" t="s">
        <v>12</v>
      </c>
      <c r="G48" s="607"/>
      <c r="H48" s="395" t="s">
        <v>7</v>
      </c>
      <c r="I48" s="590"/>
      <c r="J48" s="591"/>
      <c r="K48" s="394"/>
      <c r="L48" s="731"/>
      <c r="M48" s="731"/>
      <c r="N48" s="386">
        <v>0</v>
      </c>
      <c r="O48" s="386">
        <f>S48</f>
        <v>8000</v>
      </c>
      <c r="P48" s="386">
        <f>0</f>
        <v>0</v>
      </c>
      <c r="Q48" s="612">
        <f>0</f>
        <v>0</v>
      </c>
      <c r="R48" s="613"/>
      <c r="S48" s="386">
        <v>8000</v>
      </c>
    </row>
    <row r="49" spans="1:19" ht="60.75" customHeight="1">
      <c r="A49" s="16">
        <v>5</v>
      </c>
      <c r="B49" s="61" t="s">
        <v>57</v>
      </c>
      <c r="C49" s="142">
        <v>697</v>
      </c>
      <c r="D49" s="395"/>
      <c r="E49" s="142"/>
      <c r="F49" s="606" t="s">
        <v>12</v>
      </c>
      <c r="G49" s="607"/>
      <c r="H49" s="395" t="s">
        <v>7</v>
      </c>
      <c r="I49" s="590"/>
      <c r="J49" s="591"/>
      <c r="K49" s="394"/>
      <c r="L49" s="612"/>
      <c r="M49" s="613"/>
      <c r="N49" s="386">
        <v>0</v>
      </c>
      <c r="O49" s="386">
        <f>S49</f>
        <v>10000</v>
      </c>
      <c r="P49" s="386">
        <f>0</f>
        <v>0</v>
      </c>
      <c r="Q49" s="612">
        <f>0</f>
        <v>0</v>
      </c>
      <c r="R49" s="613"/>
      <c r="S49" s="386">
        <v>10000</v>
      </c>
    </row>
    <row r="50" spans="1:19" ht="60.75" customHeight="1">
      <c r="A50" s="16">
        <v>6</v>
      </c>
      <c r="B50" s="57" t="s">
        <v>79</v>
      </c>
      <c r="C50" s="142">
        <v>767</v>
      </c>
      <c r="D50" s="395"/>
      <c r="E50" s="142"/>
      <c r="F50" s="606" t="s">
        <v>74</v>
      </c>
      <c r="G50" s="607"/>
      <c r="H50" s="395" t="s">
        <v>75</v>
      </c>
      <c r="I50" s="394"/>
      <c r="J50" s="394"/>
      <c r="K50" s="394"/>
      <c r="L50" s="386"/>
      <c r="M50" s="386"/>
      <c r="N50" s="386">
        <v>0</v>
      </c>
      <c r="O50" s="386">
        <f>S50</f>
        <v>10499.99</v>
      </c>
      <c r="P50" s="386">
        <f>0</f>
        <v>0</v>
      </c>
      <c r="Q50" s="612">
        <f>0</f>
        <v>0</v>
      </c>
      <c r="R50" s="613"/>
      <c r="S50" s="386">
        <v>10499.99</v>
      </c>
    </row>
    <row r="51" spans="1:19" ht="60.75" customHeight="1">
      <c r="A51" s="16">
        <v>7</v>
      </c>
      <c r="B51" s="58" t="s">
        <v>78</v>
      </c>
      <c r="C51" s="142">
        <v>610</v>
      </c>
      <c r="D51" s="395"/>
      <c r="E51" s="142"/>
      <c r="F51" s="606" t="s">
        <v>74</v>
      </c>
      <c r="G51" s="607"/>
      <c r="H51" s="395" t="s">
        <v>75</v>
      </c>
      <c r="I51" s="394"/>
      <c r="J51" s="394"/>
      <c r="K51" s="394"/>
      <c r="L51" s="386"/>
      <c r="M51" s="386"/>
      <c r="N51" s="386">
        <v>0</v>
      </c>
      <c r="O51" s="386">
        <f>S51</f>
        <v>10000</v>
      </c>
      <c r="P51" s="386">
        <f>0</f>
        <v>0</v>
      </c>
      <c r="Q51" s="612">
        <f>0</f>
        <v>0</v>
      </c>
      <c r="R51" s="613"/>
      <c r="S51" s="386">
        <v>10000</v>
      </c>
    </row>
    <row r="52" spans="1:19" ht="60.75" customHeight="1">
      <c r="A52" s="16">
        <v>8</v>
      </c>
      <c r="B52" s="57" t="s">
        <v>58</v>
      </c>
      <c r="C52" s="142">
        <v>601</v>
      </c>
      <c r="D52" s="395"/>
      <c r="E52" s="142"/>
      <c r="F52" s="606" t="s">
        <v>74</v>
      </c>
      <c r="G52" s="607"/>
      <c r="H52" s="395" t="s">
        <v>75</v>
      </c>
      <c r="I52" s="394"/>
      <c r="J52" s="394"/>
      <c r="K52" s="394"/>
      <c r="L52" s="386"/>
      <c r="M52" s="386"/>
      <c r="N52" s="386">
        <v>0</v>
      </c>
      <c r="O52" s="386">
        <v>10000</v>
      </c>
      <c r="P52" s="386">
        <f>0</f>
        <v>0</v>
      </c>
      <c r="Q52" s="612">
        <f>0</f>
        <v>0</v>
      </c>
      <c r="R52" s="613"/>
      <c r="S52" s="386">
        <v>9000</v>
      </c>
    </row>
    <row r="53" spans="1:19" ht="49.5" customHeight="1">
      <c r="A53" s="16">
        <v>9</v>
      </c>
      <c r="B53" s="132" t="s">
        <v>38</v>
      </c>
      <c r="C53" s="143">
        <v>1329</v>
      </c>
      <c r="D53" s="608"/>
      <c r="E53" s="609"/>
      <c r="F53" s="395"/>
      <c r="G53" s="610"/>
      <c r="H53" s="611"/>
      <c r="I53" s="612"/>
      <c r="J53" s="613"/>
      <c r="K53" s="100">
        <v>0.9</v>
      </c>
      <c r="L53" s="100"/>
      <c r="M53" s="616">
        <v>0</v>
      </c>
      <c r="N53" s="617"/>
      <c r="O53" s="131">
        <f>1889.55</f>
        <v>1889.55</v>
      </c>
      <c r="P53" s="383">
        <f>O53</f>
        <v>1889.55</v>
      </c>
      <c r="Q53" s="616">
        <v>0</v>
      </c>
      <c r="R53" s="617"/>
      <c r="S53" s="386">
        <v>1889.55</v>
      </c>
    </row>
    <row r="54" spans="1:19" ht="58.5" customHeight="1">
      <c r="A54" s="16">
        <v>10</v>
      </c>
      <c r="B54" s="57" t="s">
        <v>80</v>
      </c>
      <c r="C54" s="142">
        <v>775</v>
      </c>
      <c r="D54" s="395"/>
      <c r="E54" s="142"/>
      <c r="F54" s="606" t="s">
        <v>8</v>
      </c>
      <c r="G54" s="607"/>
      <c r="H54" s="395" t="s">
        <v>12</v>
      </c>
      <c r="I54" s="394"/>
      <c r="J54" s="394"/>
      <c r="K54" s="394"/>
      <c r="L54" s="386"/>
      <c r="M54" s="386"/>
      <c r="N54" s="386">
        <v>0</v>
      </c>
      <c r="O54" s="386">
        <v>120000</v>
      </c>
      <c r="P54" s="386">
        <v>0</v>
      </c>
      <c r="Q54" s="612">
        <v>0</v>
      </c>
      <c r="R54" s="613"/>
      <c r="S54" s="386">
        <f>7000+2327.06</f>
        <v>9327.06</v>
      </c>
    </row>
    <row r="55" spans="1:19" ht="58.5" customHeight="1">
      <c r="A55" s="16">
        <v>11</v>
      </c>
      <c r="B55" s="57" t="s">
        <v>107</v>
      </c>
      <c r="C55" s="142">
        <v>431</v>
      </c>
      <c r="D55" s="395"/>
      <c r="E55" s="142"/>
      <c r="F55" s="606" t="s">
        <v>13</v>
      </c>
      <c r="G55" s="607"/>
      <c r="H55" s="395" t="s">
        <v>47</v>
      </c>
      <c r="I55" s="394"/>
      <c r="J55" s="394"/>
      <c r="K55" s="394"/>
      <c r="L55" s="386"/>
      <c r="M55" s="386"/>
      <c r="N55" s="386">
        <v>0</v>
      </c>
      <c r="O55" s="386">
        <v>10000</v>
      </c>
      <c r="P55" s="386">
        <v>0</v>
      </c>
      <c r="Q55" s="612">
        <v>0</v>
      </c>
      <c r="R55" s="613"/>
      <c r="S55" s="386">
        <v>8500</v>
      </c>
    </row>
    <row r="56" spans="1:19" ht="58.5" customHeight="1">
      <c r="A56" s="16">
        <v>12</v>
      </c>
      <c r="B56" s="57" t="s">
        <v>108</v>
      </c>
      <c r="C56" s="142">
        <v>932.55</v>
      </c>
      <c r="D56" s="395"/>
      <c r="E56" s="142"/>
      <c r="F56" s="606" t="s">
        <v>13</v>
      </c>
      <c r="G56" s="607"/>
      <c r="H56" s="395" t="s">
        <v>47</v>
      </c>
      <c r="I56" s="394"/>
      <c r="J56" s="394"/>
      <c r="K56" s="394"/>
      <c r="L56" s="386"/>
      <c r="M56" s="386"/>
      <c r="N56" s="386">
        <v>0</v>
      </c>
      <c r="O56" s="386">
        <v>14000</v>
      </c>
      <c r="P56" s="386">
        <v>0</v>
      </c>
      <c r="Q56" s="612">
        <v>0</v>
      </c>
      <c r="R56" s="613"/>
      <c r="S56" s="386">
        <v>11000</v>
      </c>
    </row>
    <row r="57" spans="1:19" ht="58.5" customHeight="1" hidden="1">
      <c r="A57" s="16">
        <v>13</v>
      </c>
      <c r="B57" s="57" t="s">
        <v>109</v>
      </c>
      <c r="C57" s="142">
        <v>924</v>
      </c>
      <c r="D57" s="395"/>
      <c r="E57" s="142"/>
      <c r="F57" s="606" t="s">
        <v>13</v>
      </c>
      <c r="G57" s="607"/>
      <c r="H57" s="395" t="s">
        <v>47</v>
      </c>
      <c r="I57" s="394"/>
      <c r="J57" s="394"/>
      <c r="K57" s="394"/>
      <c r="L57" s="394"/>
      <c r="M57" s="394"/>
      <c r="N57" s="374"/>
      <c r="O57" s="374"/>
      <c r="P57" s="374"/>
      <c r="Q57" s="620"/>
      <c r="R57" s="621"/>
      <c r="S57" s="374"/>
    </row>
    <row r="58" spans="1:19" ht="58.5" customHeight="1" hidden="1">
      <c r="A58" s="16">
        <v>14</v>
      </c>
      <c r="B58" s="57" t="s">
        <v>110</v>
      </c>
      <c r="C58" s="142">
        <v>730</v>
      </c>
      <c r="D58" s="395"/>
      <c r="E58" s="142"/>
      <c r="F58" s="606" t="s">
        <v>13</v>
      </c>
      <c r="G58" s="607"/>
      <c r="H58" s="395" t="s">
        <v>47</v>
      </c>
      <c r="I58" s="394"/>
      <c r="J58" s="394"/>
      <c r="K58" s="394"/>
      <c r="L58" s="394"/>
      <c r="M58" s="394"/>
      <c r="N58" s="374"/>
      <c r="O58" s="374"/>
      <c r="P58" s="374"/>
      <c r="Q58" s="620"/>
      <c r="R58" s="621"/>
      <c r="S58" s="374"/>
    </row>
    <row r="59" spans="1:19" ht="58.5" customHeight="1" hidden="1">
      <c r="A59" s="16">
        <v>15</v>
      </c>
      <c r="B59" s="57" t="s">
        <v>112</v>
      </c>
      <c r="C59" s="142">
        <v>329</v>
      </c>
      <c r="D59" s="395"/>
      <c r="E59" s="142"/>
      <c r="F59" s="606" t="s">
        <v>13</v>
      </c>
      <c r="G59" s="607"/>
      <c r="H59" s="395" t="s">
        <v>47</v>
      </c>
      <c r="I59" s="394"/>
      <c r="J59" s="394"/>
      <c r="K59" s="394"/>
      <c r="L59" s="394"/>
      <c r="M59" s="394"/>
      <c r="N59" s="374"/>
      <c r="O59" s="374"/>
      <c r="P59" s="374"/>
      <c r="Q59" s="620"/>
      <c r="R59" s="621"/>
      <c r="S59" s="374"/>
    </row>
    <row r="60" spans="1:19" ht="58.5" customHeight="1" hidden="1">
      <c r="A60" s="16">
        <v>16</v>
      </c>
      <c r="B60" s="57" t="s">
        <v>113</v>
      </c>
      <c r="C60" s="142">
        <v>554</v>
      </c>
      <c r="D60" s="395"/>
      <c r="E60" s="142"/>
      <c r="F60" s="606" t="s">
        <v>13</v>
      </c>
      <c r="G60" s="607"/>
      <c r="H60" s="395" t="s">
        <v>47</v>
      </c>
      <c r="I60" s="394"/>
      <c r="J60" s="394"/>
      <c r="K60" s="394"/>
      <c r="L60" s="394"/>
      <c r="M60" s="394"/>
      <c r="N60" s="374"/>
      <c r="O60" s="374"/>
      <c r="P60" s="374"/>
      <c r="Q60" s="620"/>
      <c r="R60" s="621"/>
      <c r="S60" s="374"/>
    </row>
    <row r="61" spans="1:19" ht="34.5" customHeight="1">
      <c r="A61" s="4"/>
      <c r="B61" s="188" t="s">
        <v>105</v>
      </c>
      <c r="C61" s="187">
        <f>SUM(C45:C60)</f>
        <v>12481.55</v>
      </c>
      <c r="D61" s="188"/>
      <c r="E61" s="187"/>
      <c r="F61" s="188"/>
      <c r="G61" s="188"/>
      <c r="H61" s="188"/>
      <c r="I61" s="188"/>
      <c r="J61" s="188"/>
      <c r="K61" s="188"/>
      <c r="L61" s="188"/>
      <c r="M61" s="188"/>
      <c r="N61" s="24">
        <f>SUM(N45:N54)</f>
        <v>0</v>
      </c>
      <c r="O61" s="24">
        <f>SUM(O45:O54)</f>
        <v>202389.53999999998</v>
      </c>
      <c r="P61" s="24">
        <f>SUM(P45:P54)</f>
        <v>1889.55</v>
      </c>
      <c r="Q61" s="653">
        <f>SUM(Q45:R54)</f>
        <v>0</v>
      </c>
      <c r="R61" s="654"/>
      <c r="S61" s="24">
        <f>SUM(S45:S58)+S59+S60</f>
        <v>109216.59999999999</v>
      </c>
    </row>
    <row r="62" spans="1:19" ht="32.25" customHeight="1">
      <c r="A62" s="685" t="s">
        <v>29</v>
      </c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7"/>
    </row>
    <row r="63" spans="1:21" ht="45" customHeight="1">
      <c r="A63" s="4"/>
      <c r="B63" s="358" t="s">
        <v>114</v>
      </c>
      <c r="C63" s="622"/>
      <c r="D63" s="623"/>
      <c r="E63" s="5"/>
      <c r="F63" s="622"/>
      <c r="G63" s="623"/>
      <c r="H63" s="4"/>
      <c r="I63" s="683">
        <f>I32+I38</f>
        <v>1510797.1600000001</v>
      </c>
      <c r="J63" s="684"/>
      <c r="K63" s="386"/>
      <c r="L63" s="683">
        <f>L32+L38</f>
        <v>1338600.4200000002</v>
      </c>
      <c r="M63" s="684"/>
      <c r="N63" s="39">
        <f>N32+M38+N61</f>
        <v>384481.35</v>
      </c>
      <c r="O63" s="39">
        <f>O32+O38+O61</f>
        <v>1139522.4</v>
      </c>
      <c r="P63" s="39">
        <f>P32+P61</f>
        <v>80120.44</v>
      </c>
      <c r="Q63" s="683">
        <f>Q32</f>
        <v>400000</v>
      </c>
      <c r="R63" s="684"/>
      <c r="S63" s="39">
        <f>S26+S38+S61</f>
        <v>646349.46</v>
      </c>
      <c r="U63" s="238">
        <f>S63-S64</f>
        <v>388051.79999999993</v>
      </c>
    </row>
    <row r="64" spans="1:19" ht="38.25" customHeight="1">
      <c r="A64" s="118"/>
      <c r="B64" s="61" t="s">
        <v>120</v>
      </c>
      <c r="C64" s="396"/>
      <c r="D64" s="397"/>
      <c r="E64" s="119"/>
      <c r="F64" s="396"/>
      <c r="G64" s="397"/>
      <c r="H64" s="118"/>
      <c r="I64" s="254"/>
      <c r="J64" s="255"/>
      <c r="K64" s="56"/>
      <c r="L64" s="256"/>
      <c r="M64" s="126"/>
      <c r="N64" s="157"/>
      <c r="O64" s="128"/>
      <c r="P64" s="129"/>
      <c r="Q64" s="673"/>
      <c r="R64" s="673"/>
      <c r="S64" s="386">
        <v>258297.66</v>
      </c>
    </row>
    <row r="66" spans="2:19" ht="25.5">
      <c r="B66" s="350" t="s">
        <v>100</v>
      </c>
      <c r="C66" s="350"/>
      <c r="D66" s="350"/>
      <c r="E66" s="350"/>
      <c r="F66" s="350"/>
      <c r="G66" s="350"/>
      <c r="H66" s="350" t="s">
        <v>95</v>
      </c>
      <c r="I66" s="350"/>
      <c r="J66" s="173"/>
      <c r="K66" s="173"/>
      <c r="L66" s="173"/>
      <c r="M66" s="174"/>
      <c r="N66" s="174"/>
      <c r="P66" s="25"/>
      <c r="Q66" s="25"/>
      <c r="S66" s="23"/>
    </row>
    <row r="67" spans="2:14" ht="12.75">
      <c r="B67" s="352"/>
      <c r="C67" s="352"/>
      <c r="D67" s="352"/>
      <c r="E67" s="352"/>
      <c r="F67" s="352"/>
      <c r="G67" s="352"/>
      <c r="H67" s="352"/>
      <c r="I67" s="352"/>
      <c r="J67" s="174"/>
      <c r="K67" s="174"/>
      <c r="L67" s="174"/>
      <c r="M67" s="174"/>
      <c r="N67" s="174"/>
    </row>
    <row r="68" spans="2:20" ht="20.25">
      <c r="B68" s="352"/>
      <c r="C68" s="352"/>
      <c r="D68" s="352"/>
      <c r="E68" s="352"/>
      <c r="F68" s="352"/>
      <c r="G68" s="352"/>
      <c r="H68" s="352"/>
      <c r="I68" s="352"/>
      <c r="J68" s="174"/>
      <c r="K68" s="174"/>
      <c r="L68" s="174"/>
      <c r="M68" s="174"/>
      <c r="N68" s="174"/>
      <c r="S68" s="360"/>
      <c r="T68" s="359">
        <v>258</v>
      </c>
    </row>
    <row r="69" spans="2:20" ht="20.25">
      <c r="B69" s="350" t="s">
        <v>96</v>
      </c>
      <c r="C69" s="350"/>
      <c r="D69" s="350"/>
      <c r="E69" s="350"/>
      <c r="F69" s="350"/>
      <c r="G69" s="350"/>
      <c r="H69" s="350" t="s">
        <v>45</v>
      </c>
      <c r="I69" s="350"/>
      <c r="J69" s="173"/>
      <c r="K69" s="173"/>
      <c r="L69" s="173"/>
      <c r="M69" s="173"/>
      <c r="N69" s="173"/>
      <c r="S69" s="25"/>
      <c r="T69" s="359">
        <v>388</v>
      </c>
    </row>
    <row r="70" spans="2:20" ht="20.25">
      <c r="B70" s="352"/>
      <c r="C70" s="352"/>
      <c r="D70" s="352"/>
      <c r="E70" s="352"/>
      <c r="F70" s="352"/>
      <c r="G70" s="352"/>
      <c r="H70" s="352"/>
      <c r="I70" s="352"/>
      <c r="J70" s="174"/>
      <c r="K70" s="174"/>
      <c r="L70" s="174"/>
      <c r="M70" s="174"/>
      <c r="N70" s="174"/>
      <c r="T70" s="359">
        <f>SUM(T68:T70)</f>
        <v>3618246</v>
      </c>
    </row>
    <row r="71" spans="2:14" ht="12.7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ht="22.5" customHeight="1"/>
  </sheetData>
  <mergeCells count="142">
    <mergeCell ref="C7:P7"/>
    <mergeCell ref="A9:A13"/>
    <mergeCell ref="B9:B13"/>
    <mergeCell ref="C9:C13"/>
    <mergeCell ref="D9:E13"/>
    <mergeCell ref="F9:H10"/>
    <mergeCell ref="I9:L9"/>
    <mergeCell ref="M9:N13"/>
    <mergeCell ref="O9:S9"/>
    <mergeCell ref="I10:L10"/>
    <mergeCell ref="D14:E14"/>
    <mergeCell ref="G14:H14"/>
    <mergeCell ref="I14:J14"/>
    <mergeCell ref="M14:N14"/>
    <mergeCell ref="Q14:R14"/>
    <mergeCell ref="A15:S15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D16:E16"/>
    <mergeCell ref="I16:J16"/>
    <mergeCell ref="M16:N16"/>
    <mergeCell ref="Q16:R16"/>
    <mergeCell ref="D17:E17"/>
    <mergeCell ref="G17:H17"/>
    <mergeCell ref="I17:J17"/>
    <mergeCell ref="M17:N17"/>
    <mergeCell ref="Q17:R17"/>
    <mergeCell ref="D18:E18"/>
    <mergeCell ref="G18:H18"/>
    <mergeCell ref="I18:J18"/>
    <mergeCell ref="M18:N18"/>
    <mergeCell ref="Q18:R18"/>
    <mergeCell ref="D19:E19"/>
    <mergeCell ref="G19:H19"/>
    <mergeCell ref="I19:J19"/>
    <mergeCell ref="M19:N19"/>
    <mergeCell ref="Q19:R19"/>
    <mergeCell ref="Q22:R22"/>
    <mergeCell ref="Q23:R23"/>
    <mergeCell ref="Q24:R24"/>
    <mergeCell ref="Q25:R25"/>
    <mergeCell ref="A26:B26"/>
    <mergeCell ref="I26:J26"/>
    <mergeCell ref="M26:N26"/>
    <mergeCell ref="Q26:R26"/>
    <mergeCell ref="D20:E20"/>
    <mergeCell ref="G20:H20"/>
    <mergeCell ref="I20:J20"/>
    <mergeCell ref="M20:N20"/>
    <mergeCell ref="Q20:R20"/>
    <mergeCell ref="I21:J21"/>
    <mergeCell ref="M21:N21"/>
    <mergeCell ref="Q21:R21"/>
    <mergeCell ref="B29:S29"/>
    <mergeCell ref="I30:J30"/>
    <mergeCell ref="M30:N30"/>
    <mergeCell ref="Q30:R30"/>
    <mergeCell ref="Q31:R31"/>
    <mergeCell ref="A32:B32"/>
    <mergeCell ref="Q32:R32"/>
    <mergeCell ref="C27:D27"/>
    <mergeCell ref="F27:G27"/>
    <mergeCell ref="I27:J27"/>
    <mergeCell ref="L27:M27"/>
    <mergeCell ref="Q27:R27"/>
    <mergeCell ref="Q28:R28"/>
    <mergeCell ref="I37:J37"/>
    <mergeCell ref="M37:N37"/>
    <mergeCell ref="Q37:R37"/>
    <mergeCell ref="I38:J38"/>
    <mergeCell ref="M38:N38"/>
    <mergeCell ref="Q38:R38"/>
    <mergeCell ref="Q33:R33"/>
    <mergeCell ref="Q34:R34"/>
    <mergeCell ref="A35:S35"/>
    <mergeCell ref="C36:D36"/>
    <mergeCell ref="I36:J36"/>
    <mergeCell ref="L36:M36"/>
    <mergeCell ref="Q36:R36"/>
    <mergeCell ref="F46:G46"/>
    <mergeCell ref="I46:J46"/>
    <mergeCell ref="L46:M46"/>
    <mergeCell ref="Q46:R46"/>
    <mergeCell ref="F47:G47"/>
    <mergeCell ref="I47:J47"/>
    <mergeCell ref="L47:M47"/>
    <mergeCell ref="Q47:R47"/>
    <mergeCell ref="A40:S40"/>
    <mergeCell ref="A44:S44"/>
    <mergeCell ref="F45:G45"/>
    <mergeCell ref="I45:J45"/>
    <mergeCell ref="L45:M45"/>
    <mergeCell ref="Q45:R45"/>
    <mergeCell ref="F50:G50"/>
    <mergeCell ref="Q50:R50"/>
    <mergeCell ref="F51:G51"/>
    <mergeCell ref="Q51:R51"/>
    <mergeCell ref="F52:G52"/>
    <mergeCell ref="Q52:R52"/>
    <mergeCell ref="F48:G48"/>
    <mergeCell ref="I48:J48"/>
    <mergeCell ref="L48:M48"/>
    <mergeCell ref="Q48:R48"/>
    <mergeCell ref="F49:G49"/>
    <mergeCell ref="I49:J49"/>
    <mergeCell ref="L49:M49"/>
    <mergeCell ref="Q49:R49"/>
    <mergeCell ref="F55:G55"/>
    <mergeCell ref="Q55:R55"/>
    <mergeCell ref="F56:G56"/>
    <mergeCell ref="Q56:R56"/>
    <mergeCell ref="F57:G57"/>
    <mergeCell ref="Q57:R57"/>
    <mergeCell ref="D53:E53"/>
    <mergeCell ref="G53:H53"/>
    <mergeCell ref="I53:J53"/>
    <mergeCell ref="M53:N53"/>
    <mergeCell ref="Q53:R53"/>
    <mergeCell ref="F54:G54"/>
    <mergeCell ref="Q54:R54"/>
    <mergeCell ref="Q64:R64"/>
    <mergeCell ref="Q61:R61"/>
    <mergeCell ref="A62:S62"/>
    <mergeCell ref="C63:D63"/>
    <mergeCell ref="F63:G63"/>
    <mergeCell ref="I63:J63"/>
    <mergeCell ref="L63:M63"/>
    <mergeCell ref="Q63:R63"/>
    <mergeCell ref="F58:G58"/>
    <mergeCell ref="Q58:R58"/>
    <mergeCell ref="F59:G59"/>
    <mergeCell ref="Q59:R59"/>
    <mergeCell ref="F60:G60"/>
    <mergeCell ref="Q60:R60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1"/>
  <sheetViews>
    <sheetView zoomScale="69" zoomScaleNormal="69" workbookViewId="0" topLeftCell="A11">
      <selection activeCell="L20" sqref="L20"/>
    </sheetView>
  </sheetViews>
  <sheetFormatPr defaultColWidth="9.140625" defaultRowHeight="12.75"/>
  <cols>
    <col min="1" max="1" width="5.28125" style="10" customWidth="1"/>
    <col min="2" max="2" width="66.140625" style="10" customWidth="1"/>
    <col min="3" max="3" width="12.57421875" style="10" customWidth="1"/>
    <col min="4" max="4" width="11.7109375" style="10" hidden="1" customWidth="1"/>
    <col min="5" max="5" width="12.8515625" style="10" customWidth="1"/>
    <col min="6" max="6" width="15.28125" style="10" customWidth="1"/>
    <col min="7" max="7" width="24.8515625" style="10" hidden="1" customWidth="1"/>
    <col min="8" max="8" width="13.421875" style="10" customWidth="1"/>
    <col min="9" max="9" width="16.421875" style="10" customWidth="1"/>
    <col min="10" max="10" width="0.2890625" style="10" hidden="1" customWidth="1"/>
    <col min="11" max="11" width="6.00390625" style="10" hidden="1" customWidth="1"/>
    <col min="12" max="12" width="19.7109375" style="10" customWidth="1"/>
    <col min="13" max="13" width="6.28125" style="10" hidden="1" customWidth="1"/>
    <col min="14" max="14" width="14.8515625" style="10" customWidth="1"/>
    <col min="15" max="15" width="18.140625" style="10" customWidth="1"/>
    <col min="16" max="16" width="20.00390625" style="10" customWidth="1"/>
    <col min="17" max="17" width="14.00390625" style="10" customWidth="1"/>
    <col min="18" max="18" width="6.57421875" style="10" customWidth="1"/>
    <col min="19" max="19" width="25.28125" style="10" customWidth="1"/>
    <col min="20" max="20" width="18.8515625" style="15" customWidth="1"/>
    <col min="21" max="21" width="33.140625" style="15" customWidth="1"/>
    <col min="22" max="22" width="20.28125" style="15" customWidth="1"/>
    <col min="23" max="60" width="9.140625" style="15" customWidth="1"/>
    <col min="61" max="16384" width="9.140625" style="10" customWidth="1"/>
  </cols>
  <sheetData>
    <row r="1" spans="1:256" ht="18.75">
      <c r="A1" s="2"/>
      <c r="B1" s="189" t="s">
        <v>0</v>
      </c>
      <c r="C1" s="189"/>
      <c r="D1" s="189"/>
      <c r="E1" s="189"/>
      <c r="F1" s="189" t="s">
        <v>0</v>
      </c>
      <c r="G1" s="189"/>
      <c r="H1" s="189"/>
      <c r="I1" s="189"/>
      <c r="J1" s="189"/>
      <c r="K1" s="189"/>
      <c r="L1" s="189"/>
      <c r="M1" s="189"/>
      <c r="N1" s="190"/>
      <c r="O1" s="191"/>
      <c r="P1" s="190" t="s">
        <v>33</v>
      </c>
      <c r="Q1" s="190"/>
      <c r="R1" s="2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ht="18.75">
      <c r="A2" s="2"/>
      <c r="B2" s="189" t="s">
        <v>42</v>
      </c>
      <c r="C2" s="189"/>
      <c r="D2" s="189"/>
      <c r="E2" s="189"/>
      <c r="F2" s="189" t="s">
        <v>1</v>
      </c>
      <c r="G2" s="189"/>
      <c r="H2" s="189"/>
      <c r="I2" s="189"/>
      <c r="J2" s="189"/>
      <c r="K2" s="189"/>
      <c r="L2" s="189"/>
      <c r="M2" s="189"/>
      <c r="N2" s="189"/>
      <c r="O2" s="190"/>
      <c r="P2" s="190" t="s">
        <v>34</v>
      </c>
      <c r="Q2" s="189"/>
      <c r="R2" s="1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ht="18.75">
      <c r="A3" s="2"/>
      <c r="B3" s="189" t="s">
        <v>5</v>
      </c>
      <c r="C3" s="189"/>
      <c r="D3" s="189"/>
      <c r="E3" s="189"/>
      <c r="F3" s="189" t="s">
        <v>2</v>
      </c>
      <c r="G3" s="189"/>
      <c r="H3" s="189"/>
      <c r="I3" s="189"/>
      <c r="J3" s="189"/>
      <c r="K3" s="189"/>
      <c r="L3" s="189"/>
      <c r="M3" s="189"/>
      <c r="N3" s="189"/>
      <c r="O3" s="190"/>
      <c r="P3" s="190"/>
      <c r="Q3" s="189"/>
      <c r="R3" s="1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ht="18.75">
      <c r="A4" s="2"/>
      <c r="B4" s="189" t="s">
        <v>43</v>
      </c>
      <c r="C4" s="189"/>
      <c r="D4" s="189"/>
      <c r="E4" s="189"/>
      <c r="F4" s="189" t="s">
        <v>115</v>
      </c>
      <c r="G4" s="189"/>
      <c r="H4" s="189"/>
      <c r="I4" s="189"/>
      <c r="J4" s="189"/>
      <c r="K4" s="189"/>
      <c r="L4" s="189"/>
      <c r="M4" s="189"/>
      <c r="N4" s="189"/>
      <c r="O4" s="190"/>
      <c r="P4" s="190" t="s">
        <v>62</v>
      </c>
      <c r="Q4" s="189"/>
      <c r="R4" s="1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ht="18.75">
      <c r="A5" s="2"/>
      <c r="B5" s="189" t="s">
        <v>60</v>
      </c>
      <c r="C5" s="189"/>
      <c r="D5" s="189"/>
      <c r="E5" s="189"/>
      <c r="F5" s="189" t="s">
        <v>61</v>
      </c>
      <c r="G5" s="189"/>
      <c r="H5" s="189"/>
      <c r="I5" s="189"/>
      <c r="J5" s="189"/>
      <c r="K5" s="189"/>
      <c r="L5" s="189"/>
      <c r="M5" s="189"/>
      <c r="N5" s="189"/>
      <c r="O5" s="190"/>
      <c r="P5" s="189" t="s">
        <v>35</v>
      </c>
      <c r="Q5" s="189"/>
      <c r="R5" s="2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7" spans="1:16" ht="18.75" customHeight="1">
      <c r="A7" s="11"/>
      <c r="C7" s="599" t="s">
        <v>59</v>
      </c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</row>
    <row r="8" ht="11.25" customHeight="1">
      <c r="A8" s="11"/>
    </row>
    <row r="9" spans="1:19" ht="43.5" customHeight="1">
      <c r="A9" s="632" t="s">
        <v>4</v>
      </c>
      <c r="B9" s="714" t="s">
        <v>14</v>
      </c>
      <c r="C9" s="720" t="s">
        <v>15</v>
      </c>
      <c r="D9" s="714" t="s">
        <v>16</v>
      </c>
      <c r="E9" s="715"/>
      <c r="F9" s="714" t="s">
        <v>17</v>
      </c>
      <c r="G9" s="723"/>
      <c r="H9" s="715"/>
      <c r="I9" s="590" t="s">
        <v>18</v>
      </c>
      <c r="J9" s="713"/>
      <c r="K9" s="713"/>
      <c r="L9" s="591"/>
      <c r="M9" s="714" t="s">
        <v>65</v>
      </c>
      <c r="N9" s="715"/>
      <c r="O9" s="590" t="s">
        <v>68</v>
      </c>
      <c r="P9" s="713"/>
      <c r="Q9" s="713"/>
      <c r="R9" s="713"/>
      <c r="S9" s="591"/>
    </row>
    <row r="10" spans="1:19" ht="18.75" customHeight="1">
      <c r="A10" s="633"/>
      <c r="B10" s="716"/>
      <c r="C10" s="721"/>
      <c r="D10" s="716"/>
      <c r="E10" s="717"/>
      <c r="F10" s="718"/>
      <c r="G10" s="724"/>
      <c r="H10" s="719"/>
      <c r="I10" s="590" t="s">
        <v>77</v>
      </c>
      <c r="J10" s="713"/>
      <c r="K10" s="713"/>
      <c r="L10" s="591"/>
      <c r="M10" s="716"/>
      <c r="N10" s="717"/>
      <c r="O10" s="710" t="s">
        <v>19</v>
      </c>
      <c r="P10" s="713"/>
      <c r="Q10" s="713"/>
      <c r="R10" s="713"/>
      <c r="S10" s="591"/>
    </row>
    <row r="11" spans="1:19" ht="18.75" customHeight="1">
      <c r="A11" s="633"/>
      <c r="B11" s="716"/>
      <c r="C11" s="721"/>
      <c r="D11" s="716"/>
      <c r="E11" s="717"/>
      <c r="F11" s="394" t="s">
        <v>20</v>
      </c>
      <c r="G11" s="590" t="s">
        <v>21</v>
      </c>
      <c r="H11" s="591"/>
      <c r="I11" s="714" t="s">
        <v>22</v>
      </c>
      <c r="J11" s="715"/>
      <c r="K11" s="394"/>
      <c r="L11" s="720" t="s">
        <v>23</v>
      </c>
      <c r="M11" s="716"/>
      <c r="N11" s="717"/>
      <c r="O11" s="711"/>
      <c r="P11" s="715" t="s">
        <v>66</v>
      </c>
      <c r="Q11" s="714" t="s">
        <v>67</v>
      </c>
      <c r="R11" s="723"/>
      <c r="S11" s="715"/>
    </row>
    <row r="12" spans="1:19" ht="18.75" customHeight="1">
      <c r="A12" s="633"/>
      <c r="B12" s="716"/>
      <c r="C12" s="721"/>
      <c r="D12" s="716"/>
      <c r="E12" s="717"/>
      <c r="F12" s="394" t="s">
        <v>69</v>
      </c>
      <c r="G12" s="590" t="s">
        <v>69</v>
      </c>
      <c r="H12" s="591"/>
      <c r="I12" s="716"/>
      <c r="J12" s="717"/>
      <c r="K12" s="394"/>
      <c r="L12" s="721"/>
      <c r="M12" s="716"/>
      <c r="N12" s="717"/>
      <c r="O12" s="711"/>
      <c r="P12" s="717"/>
      <c r="Q12" s="718"/>
      <c r="R12" s="724"/>
      <c r="S12" s="719"/>
    </row>
    <row r="13" spans="1:19" ht="117" customHeight="1">
      <c r="A13" s="634"/>
      <c r="B13" s="718"/>
      <c r="C13" s="722"/>
      <c r="D13" s="718"/>
      <c r="E13" s="719"/>
      <c r="F13" s="394" t="s">
        <v>63</v>
      </c>
      <c r="G13" s="590" t="s">
        <v>64</v>
      </c>
      <c r="H13" s="591"/>
      <c r="I13" s="718"/>
      <c r="J13" s="719"/>
      <c r="K13" s="394"/>
      <c r="L13" s="722"/>
      <c r="M13" s="718"/>
      <c r="N13" s="719"/>
      <c r="O13" s="712"/>
      <c r="P13" s="719"/>
      <c r="Q13" s="590" t="s">
        <v>24</v>
      </c>
      <c r="R13" s="591"/>
      <c r="S13" s="394" t="s">
        <v>25</v>
      </c>
    </row>
    <row r="14" spans="1:19" ht="18.75">
      <c r="A14" s="13">
        <v>1</v>
      </c>
      <c r="B14" s="391">
        <v>2</v>
      </c>
      <c r="C14" s="158">
        <v>3</v>
      </c>
      <c r="D14" s="708">
        <v>4</v>
      </c>
      <c r="E14" s="709"/>
      <c r="F14" s="158">
        <v>5</v>
      </c>
      <c r="G14" s="708">
        <v>6</v>
      </c>
      <c r="H14" s="709"/>
      <c r="I14" s="708">
        <v>7</v>
      </c>
      <c r="J14" s="709"/>
      <c r="K14" s="158"/>
      <c r="L14" s="158">
        <v>8</v>
      </c>
      <c r="M14" s="708">
        <v>9</v>
      </c>
      <c r="N14" s="709"/>
      <c r="O14" s="192">
        <v>10</v>
      </c>
      <c r="P14" s="392">
        <v>11</v>
      </c>
      <c r="Q14" s="708">
        <v>12</v>
      </c>
      <c r="R14" s="709"/>
      <c r="S14" s="391">
        <v>13</v>
      </c>
    </row>
    <row r="15" spans="1:19" ht="23.25" customHeight="1">
      <c r="A15" s="594" t="s">
        <v>26</v>
      </c>
      <c r="B15" s="595"/>
      <c r="C15" s="595"/>
      <c r="D15" s="595"/>
      <c r="E15" s="595"/>
      <c r="F15" s="595"/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6"/>
    </row>
    <row r="16" spans="1:19" ht="65.25" customHeight="1">
      <c r="A16" s="16">
        <v>1</v>
      </c>
      <c r="B16" s="388" t="s">
        <v>48</v>
      </c>
      <c r="C16" s="386">
        <v>567</v>
      </c>
      <c r="D16" s="612">
        <v>567</v>
      </c>
      <c r="E16" s="613"/>
      <c r="F16" s="42" t="s">
        <v>76</v>
      </c>
      <c r="G16" s="42"/>
      <c r="H16" s="42" t="s">
        <v>75</v>
      </c>
      <c r="I16" s="612">
        <v>75245</v>
      </c>
      <c r="J16" s="613"/>
      <c r="K16" s="93">
        <v>0.9</v>
      </c>
      <c r="L16" s="386">
        <f aca="true" t="shared" si="0" ref="L16:L21">M16+O16</f>
        <v>69955.08</v>
      </c>
      <c r="M16" s="612">
        <v>63452.68</v>
      </c>
      <c r="N16" s="613"/>
      <c r="O16" s="42">
        <f>Q16+S16</f>
        <v>6502.4</v>
      </c>
      <c r="P16" s="382">
        <f>0</f>
        <v>0</v>
      </c>
      <c r="Q16" s="612">
        <f>0</f>
        <v>0</v>
      </c>
      <c r="R16" s="613"/>
      <c r="S16" s="386">
        <v>6502.4</v>
      </c>
    </row>
    <row r="17" spans="1:19" ht="66.75" customHeight="1">
      <c r="A17" s="16">
        <v>2</v>
      </c>
      <c r="B17" s="22" t="s">
        <v>44</v>
      </c>
      <c r="C17" s="386">
        <v>377</v>
      </c>
      <c r="D17" s="612">
        <v>377</v>
      </c>
      <c r="E17" s="613"/>
      <c r="F17" s="42" t="s">
        <v>76</v>
      </c>
      <c r="G17" s="627" t="s">
        <v>11</v>
      </c>
      <c r="H17" s="628"/>
      <c r="I17" s="612">
        <v>106395</v>
      </c>
      <c r="J17" s="613"/>
      <c r="K17" s="94">
        <v>0.9</v>
      </c>
      <c r="L17" s="386">
        <f t="shared" si="0"/>
        <v>96255.54</v>
      </c>
      <c r="M17" s="612">
        <v>3576.03</v>
      </c>
      <c r="N17" s="613"/>
      <c r="O17" s="42">
        <f>Q17+S17</f>
        <v>92679.51</v>
      </c>
      <c r="P17" s="382">
        <f>0</f>
        <v>0</v>
      </c>
      <c r="Q17" s="612">
        <v>72000</v>
      </c>
      <c r="R17" s="613"/>
      <c r="S17" s="386">
        <v>20679.51</v>
      </c>
    </row>
    <row r="18" spans="1:19" ht="44.25" customHeight="1">
      <c r="A18" s="16">
        <v>3</v>
      </c>
      <c r="B18" s="388" t="s">
        <v>30</v>
      </c>
      <c r="C18" s="386">
        <v>502</v>
      </c>
      <c r="D18" s="612">
        <v>502</v>
      </c>
      <c r="E18" s="613"/>
      <c r="F18" s="42" t="s">
        <v>76</v>
      </c>
      <c r="G18" s="627" t="s">
        <v>11</v>
      </c>
      <c r="H18" s="628"/>
      <c r="I18" s="612">
        <v>99451</v>
      </c>
      <c r="J18" s="613"/>
      <c r="K18" s="94">
        <v>0.9</v>
      </c>
      <c r="L18" s="386">
        <f t="shared" si="0"/>
        <v>92937.2</v>
      </c>
      <c r="M18" s="612">
        <v>20602.2</v>
      </c>
      <c r="N18" s="613"/>
      <c r="O18" s="42">
        <f>Q18+S18</f>
        <v>72335</v>
      </c>
      <c r="P18" s="382">
        <f>0</f>
        <v>0</v>
      </c>
      <c r="Q18" s="612">
        <v>43335</v>
      </c>
      <c r="R18" s="613"/>
      <c r="S18" s="386">
        <v>29000</v>
      </c>
    </row>
    <row r="19" spans="1:19" ht="54" customHeight="1">
      <c r="A19" s="16">
        <v>4</v>
      </c>
      <c r="B19" s="22" t="s">
        <v>37</v>
      </c>
      <c r="C19" s="386">
        <v>1064</v>
      </c>
      <c r="D19" s="612">
        <v>1064</v>
      </c>
      <c r="E19" s="613"/>
      <c r="F19" s="42" t="s">
        <v>76</v>
      </c>
      <c r="G19" s="627" t="s">
        <v>12</v>
      </c>
      <c r="H19" s="628"/>
      <c r="I19" s="612">
        <v>114278</v>
      </c>
      <c r="J19" s="613"/>
      <c r="K19" s="94">
        <v>0.9</v>
      </c>
      <c r="L19" s="386">
        <f t="shared" si="0"/>
        <v>90793.62</v>
      </c>
      <c r="M19" s="612">
        <v>39655.74</v>
      </c>
      <c r="N19" s="613"/>
      <c r="O19" s="42">
        <f>Q19+S19</f>
        <v>51137.880000000005</v>
      </c>
      <c r="P19" s="382">
        <f>0</f>
        <v>0</v>
      </c>
      <c r="Q19" s="612">
        <v>40298.87</v>
      </c>
      <c r="R19" s="613"/>
      <c r="S19" s="386">
        <f>(3000+39850.2)-14839.89-19541+2369.7</f>
        <v>10839.009999999998</v>
      </c>
    </row>
    <row r="20" spans="1:20" ht="39" customHeight="1">
      <c r="A20" s="82">
        <v>5</v>
      </c>
      <c r="B20" s="53" t="s">
        <v>38</v>
      </c>
      <c r="C20" s="131">
        <v>1329</v>
      </c>
      <c r="D20" s="616">
        <v>1329</v>
      </c>
      <c r="E20" s="617"/>
      <c r="F20" s="386" t="s">
        <v>76</v>
      </c>
      <c r="G20" s="616" t="s">
        <v>11</v>
      </c>
      <c r="H20" s="617"/>
      <c r="I20" s="612">
        <v>140749</v>
      </c>
      <c r="J20" s="613"/>
      <c r="K20" s="100">
        <v>0.9</v>
      </c>
      <c r="L20" s="386">
        <f t="shared" si="0"/>
        <v>117514.59</v>
      </c>
      <c r="M20" s="616">
        <v>14514.59</v>
      </c>
      <c r="N20" s="617"/>
      <c r="O20" s="386">
        <f>Q20+S20</f>
        <v>103000</v>
      </c>
      <c r="P20" s="382">
        <f>0</f>
        <v>0</v>
      </c>
      <c r="Q20" s="612">
        <f>72163-15000</f>
        <v>57163</v>
      </c>
      <c r="R20" s="613"/>
      <c r="S20" s="386">
        <v>45837</v>
      </c>
      <c r="T20" s="251"/>
    </row>
    <row r="21" spans="1:61" s="89" customFormat="1" ht="60" customHeight="1">
      <c r="A21" s="16">
        <v>6</v>
      </c>
      <c r="B21" s="388" t="s">
        <v>56</v>
      </c>
      <c r="C21" s="386">
        <v>549</v>
      </c>
      <c r="D21" s="386"/>
      <c r="E21" s="386">
        <f>C21</f>
        <v>549</v>
      </c>
      <c r="F21" s="386" t="s">
        <v>76</v>
      </c>
      <c r="G21" s="386"/>
      <c r="H21" s="386" t="s">
        <v>11</v>
      </c>
      <c r="I21" s="612">
        <v>104103</v>
      </c>
      <c r="J21" s="613"/>
      <c r="K21" s="93">
        <v>0.9</v>
      </c>
      <c r="L21" s="386">
        <f t="shared" si="0"/>
        <v>94255.86</v>
      </c>
      <c r="M21" s="612">
        <v>59255.86</v>
      </c>
      <c r="N21" s="613"/>
      <c r="O21" s="386">
        <f>P21+Q21+S21</f>
        <v>35000</v>
      </c>
      <c r="P21" s="382">
        <f>0</f>
        <v>0</v>
      </c>
      <c r="Q21" s="612">
        <f>0</f>
        <v>0</v>
      </c>
      <c r="R21" s="613"/>
      <c r="S21" s="386">
        <v>35000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48"/>
    </row>
    <row r="22" spans="1:19" s="15" customFormat="1" ht="40.5" customHeight="1">
      <c r="A22" s="16">
        <v>7</v>
      </c>
      <c r="B22" s="57" t="s">
        <v>10</v>
      </c>
      <c r="C22" s="386">
        <v>1717</v>
      </c>
      <c r="D22" s="386"/>
      <c r="E22" s="386">
        <f>C22</f>
        <v>1717</v>
      </c>
      <c r="F22" s="386" t="s">
        <v>11</v>
      </c>
      <c r="G22" s="386"/>
      <c r="H22" s="386" t="s">
        <v>7</v>
      </c>
      <c r="I22" s="381">
        <v>170000</v>
      </c>
      <c r="J22" s="382">
        <f>SUM(I22)</f>
        <v>170000</v>
      </c>
      <c r="K22" s="20">
        <v>0.9</v>
      </c>
      <c r="L22" s="386">
        <f>O22</f>
        <v>166215.82</v>
      </c>
      <c r="M22" s="361"/>
      <c r="N22" s="382">
        <v>0</v>
      </c>
      <c r="O22" s="386">
        <f>Q22+S22</f>
        <v>166215.82</v>
      </c>
      <c r="P22" s="382">
        <f>0</f>
        <v>0</v>
      </c>
      <c r="Q22" s="612">
        <f>37800+10349.82-19000</f>
        <v>29149.82</v>
      </c>
      <c r="R22" s="613"/>
      <c r="S22" s="386">
        <f>87066-10000+60000</f>
        <v>137066</v>
      </c>
    </row>
    <row r="23" spans="1:19" s="15" customFormat="1" ht="38.25" customHeight="1">
      <c r="A23" s="16">
        <v>8</v>
      </c>
      <c r="B23" s="57" t="s">
        <v>79</v>
      </c>
      <c r="C23" s="386">
        <v>711.8</v>
      </c>
      <c r="D23" s="386"/>
      <c r="E23" s="386">
        <f>C23</f>
        <v>711.8</v>
      </c>
      <c r="F23" s="386" t="s">
        <v>12</v>
      </c>
      <c r="G23" s="386" t="s">
        <v>9</v>
      </c>
      <c r="H23" s="386" t="s">
        <v>9</v>
      </c>
      <c r="I23" s="381">
        <v>117314.16</v>
      </c>
      <c r="J23" s="382">
        <f>SUM(I23)</f>
        <v>117314.16</v>
      </c>
      <c r="K23" s="20">
        <v>0.9</v>
      </c>
      <c r="L23" s="386">
        <f>O23</f>
        <v>107628.16</v>
      </c>
      <c r="M23" s="361"/>
      <c r="N23" s="382">
        <v>0</v>
      </c>
      <c r="O23" s="386">
        <f>Q23+S23</f>
        <v>107628.16</v>
      </c>
      <c r="P23" s="382">
        <f>0</f>
        <v>0</v>
      </c>
      <c r="Q23" s="612">
        <f>23000+19000+15536.08-20000-6203</f>
        <v>31333.08</v>
      </c>
      <c r="R23" s="613"/>
      <c r="S23" s="386">
        <v>76295.08</v>
      </c>
    </row>
    <row r="24" spans="1:19" s="15" customFormat="1" ht="55.5" customHeight="1">
      <c r="A24" s="16">
        <v>9</v>
      </c>
      <c r="B24" s="58" t="s">
        <v>82</v>
      </c>
      <c r="C24" s="386">
        <v>610</v>
      </c>
      <c r="D24" s="386"/>
      <c r="E24" s="386">
        <f>C24</f>
        <v>610</v>
      </c>
      <c r="F24" s="386" t="s">
        <v>12</v>
      </c>
      <c r="G24" s="386" t="s">
        <v>9</v>
      </c>
      <c r="H24" s="386" t="s">
        <v>9</v>
      </c>
      <c r="I24" s="381">
        <v>122000</v>
      </c>
      <c r="J24" s="382">
        <f>SUM(I24)</f>
        <v>122000</v>
      </c>
      <c r="K24" s="20">
        <v>0.9</v>
      </c>
      <c r="L24" s="386">
        <f>O24</f>
        <v>111019.99999999999</v>
      </c>
      <c r="M24" s="361"/>
      <c r="N24" s="382">
        <v>0</v>
      </c>
      <c r="O24" s="386">
        <f>Q24+S24</f>
        <v>111019.99999999999</v>
      </c>
      <c r="P24" s="382">
        <f>0</f>
        <v>0</v>
      </c>
      <c r="Q24" s="612">
        <f>19000+10000+2609.49-20000+23978.71-8126.2-6203+1378.6</f>
        <v>22637.599999999995</v>
      </c>
      <c r="R24" s="613"/>
      <c r="S24" s="386">
        <v>88382.4</v>
      </c>
    </row>
    <row r="25" spans="1:19" s="15" customFormat="1" ht="53.25" customHeight="1">
      <c r="A25" s="16">
        <v>10</v>
      </c>
      <c r="B25" s="57" t="s">
        <v>58</v>
      </c>
      <c r="C25" s="386">
        <v>601</v>
      </c>
      <c r="D25" s="386"/>
      <c r="E25" s="386">
        <f>C25</f>
        <v>601</v>
      </c>
      <c r="F25" s="386" t="s">
        <v>11</v>
      </c>
      <c r="G25" s="386" t="s">
        <v>9</v>
      </c>
      <c r="H25" s="386" t="s">
        <v>13</v>
      </c>
      <c r="I25" s="381">
        <v>120200</v>
      </c>
      <c r="J25" s="382">
        <f>SUM(I25)</f>
        <v>120200</v>
      </c>
      <c r="K25" s="20">
        <v>0.9</v>
      </c>
      <c r="L25" s="386">
        <f>O25</f>
        <v>109382</v>
      </c>
      <c r="M25" s="361"/>
      <c r="N25" s="382">
        <v>0</v>
      </c>
      <c r="O25" s="386">
        <f>Q25+S25</f>
        <v>109382</v>
      </c>
      <c r="P25" s="382">
        <f>0</f>
        <v>0</v>
      </c>
      <c r="Q25" s="612">
        <f>22000+38000-944.77-27000-6203-0.49</f>
        <v>25851.74</v>
      </c>
      <c r="R25" s="613"/>
      <c r="S25" s="386">
        <v>83530.26</v>
      </c>
    </row>
    <row r="26" spans="1:21" ht="42" customHeight="1">
      <c r="A26" s="689"/>
      <c r="B26" s="690"/>
      <c r="C26" s="368">
        <f>SUM(C16:C25)</f>
        <v>8027.8</v>
      </c>
      <c r="D26" s="368">
        <f>SUM(D16:D25)</f>
        <v>3839</v>
      </c>
      <c r="E26" s="368">
        <v>8027.8</v>
      </c>
      <c r="F26" s="368"/>
      <c r="G26" s="368"/>
      <c r="H26" s="368"/>
      <c r="I26" s="683">
        <f>SUM(I16:I25)</f>
        <v>1169735.1600000001</v>
      </c>
      <c r="J26" s="684"/>
      <c r="K26" s="389"/>
      <c r="L26" s="368">
        <f>SUM(L16:L25)</f>
        <v>1055957.87</v>
      </c>
      <c r="M26" s="700">
        <f>SUM(M16:M25)</f>
        <v>201057.09999999998</v>
      </c>
      <c r="N26" s="701"/>
      <c r="O26" s="368">
        <f>SUM(O16:O25)</f>
        <v>854900.77</v>
      </c>
      <c r="P26" s="368">
        <v>0</v>
      </c>
      <c r="Q26" s="700">
        <f>SUM(Q16:R25)</f>
        <v>321769.11</v>
      </c>
      <c r="R26" s="701"/>
      <c r="S26" s="39">
        <f>SUM(S16:S25)</f>
        <v>533131.66</v>
      </c>
      <c r="T26" s="252"/>
      <c r="U26" s="154">
        <f>Q26-400000</f>
        <v>-78230.89000000001</v>
      </c>
    </row>
    <row r="27" spans="1:19" ht="51.75" customHeight="1" hidden="1">
      <c r="A27" s="16"/>
      <c r="B27" s="57" t="s">
        <v>46</v>
      </c>
      <c r="C27" s="694"/>
      <c r="D27" s="695"/>
      <c r="E27" s="155"/>
      <c r="F27" s="694"/>
      <c r="G27" s="695"/>
      <c r="H27" s="16"/>
      <c r="I27" s="694"/>
      <c r="J27" s="695"/>
      <c r="K27" s="16"/>
      <c r="L27" s="694"/>
      <c r="M27" s="695"/>
      <c r="N27" s="16"/>
      <c r="O27" s="156"/>
      <c r="P27" s="13"/>
      <c r="Q27" s="696"/>
      <c r="R27" s="695"/>
      <c r="S27" s="374"/>
    </row>
    <row r="28" spans="1:20" ht="26.25" customHeight="1" hidden="1">
      <c r="A28" s="16"/>
      <c r="B28" s="56" t="s">
        <v>84</v>
      </c>
      <c r="C28" s="16"/>
      <c r="D28" s="16"/>
      <c r="E28" s="155"/>
      <c r="F28" s="16"/>
      <c r="G28" s="16"/>
      <c r="H28" s="16"/>
      <c r="I28" s="16"/>
      <c r="J28" s="16"/>
      <c r="K28" s="16"/>
      <c r="L28" s="16"/>
      <c r="M28" s="16"/>
      <c r="N28" s="16"/>
      <c r="O28" s="156"/>
      <c r="P28" s="13"/>
      <c r="Q28" s="697"/>
      <c r="R28" s="697"/>
      <c r="S28" s="374">
        <v>258297.66</v>
      </c>
      <c r="T28" s="238"/>
    </row>
    <row r="29" spans="1:21" ht="26.25" customHeight="1">
      <c r="A29" s="16"/>
      <c r="B29" s="594" t="s">
        <v>104</v>
      </c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6"/>
      <c r="U29" s="242"/>
    </row>
    <row r="30" spans="1:19" ht="65.25" customHeight="1">
      <c r="A30" s="16">
        <v>1</v>
      </c>
      <c r="B30" s="57" t="s">
        <v>88</v>
      </c>
      <c r="C30" s="18">
        <v>717</v>
      </c>
      <c r="D30" s="384"/>
      <c r="E30" s="393"/>
      <c r="F30" s="394"/>
      <c r="G30" s="394"/>
      <c r="H30" s="394"/>
      <c r="I30" s="612">
        <v>113514</v>
      </c>
      <c r="J30" s="613"/>
      <c r="K30" s="386">
        <v>0.9</v>
      </c>
      <c r="L30" s="386">
        <f>M30+O30</f>
        <v>91482.12</v>
      </c>
      <c r="M30" s="612">
        <v>40967.75</v>
      </c>
      <c r="N30" s="613"/>
      <c r="O30" s="386">
        <f>Q30+S30</f>
        <v>50514.37</v>
      </c>
      <c r="P30" s="382">
        <f>Q30</f>
        <v>50514.37</v>
      </c>
      <c r="Q30" s="612">
        <v>50514.37</v>
      </c>
      <c r="R30" s="613"/>
      <c r="S30" s="386">
        <v>0</v>
      </c>
    </row>
    <row r="31" spans="1:20" ht="57.75" customHeight="1">
      <c r="A31" s="16">
        <v>2</v>
      </c>
      <c r="B31" s="57" t="s">
        <v>89</v>
      </c>
      <c r="C31" s="18">
        <v>959.7</v>
      </c>
      <c r="D31" s="394"/>
      <c r="E31" s="18"/>
      <c r="F31" s="394"/>
      <c r="G31" s="394"/>
      <c r="H31" s="394"/>
      <c r="I31" s="381">
        <v>74778</v>
      </c>
      <c r="J31" s="382">
        <f>SUM(I31)</f>
        <v>74778</v>
      </c>
      <c r="K31" s="20"/>
      <c r="L31" s="386">
        <f>N31+O31</f>
        <v>56861.130000000005</v>
      </c>
      <c r="M31" s="361"/>
      <c r="N31" s="382">
        <v>29144.61</v>
      </c>
      <c r="O31" s="386">
        <f>Q31+S31</f>
        <v>27716.52</v>
      </c>
      <c r="P31" s="382">
        <f>Q31</f>
        <v>27716.52</v>
      </c>
      <c r="Q31" s="612">
        <v>27716.52</v>
      </c>
      <c r="R31" s="613"/>
      <c r="S31" s="386">
        <v>0</v>
      </c>
      <c r="T31" s="153">
        <v>29144.61</v>
      </c>
    </row>
    <row r="32" spans="1:19" ht="26.25" customHeight="1">
      <c r="A32" s="689" t="s">
        <v>94</v>
      </c>
      <c r="B32" s="690"/>
      <c r="C32" s="313">
        <f>C26+C30+C31</f>
        <v>9704.5</v>
      </c>
      <c r="D32" s="180">
        <f>D26+D30+D31</f>
        <v>3839</v>
      </c>
      <c r="E32" s="180"/>
      <c r="F32" s="179"/>
      <c r="G32" s="179"/>
      <c r="H32" s="179"/>
      <c r="I32" s="181">
        <f>I26+I30+I31</f>
        <v>1358027.1600000001</v>
      </c>
      <c r="J32" s="181">
        <f>J26+J30+J31</f>
        <v>74778</v>
      </c>
      <c r="K32" s="181">
        <f>K26+K30+K31</f>
        <v>0.9</v>
      </c>
      <c r="L32" s="181">
        <f>L26+L30+L31</f>
        <v>1204301.12</v>
      </c>
      <c r="M32" s="181">
        <f>M26+M30+M31</f>
        <v>242024.84999999998</v>
      </c>
      <c r="N32" s="181">
        <f>M26+M30+N31</f>
        <v>271169.45999999996</v>
      </c>
      <c r="O32" s="181">
        <f>O26+O30+O31</f>
        <v>933131.66</v>
      </c>
      <c r="P32" s="369">
        <f>SUM(P30:P31)</f>
        <v>78230.89</v>
      </c>
      <c r="Q32" s="729">
        <f>Q26+Q30+Q31</f>
        <v>400000</v>
      </c>
      <c r="R32" s="730"/>
      <c r="S32" s="39">
        <f>S26</f>
        <v>533131.66</v>
      </c>
    </row>
    <row r="33" spans="1:19" ht="26.25" customHeight="1" hidden="1">
      <c r="A33" s="388"/>
      <c r="B33" s="59"/>
      <c r="C33" s="168"/>
      <c r="D33" s="168"/>
      <c r="E33" s="169"/>
      <c r="F33" s="168"/>
      <c r="G33" s="168"/>
      <c r="H33" s="168"/>
      <c r="I33" s="168"/>
      <c r="J33" s="168"/>
      <c r="K33" s="168"/>
      <c r="L33" s="168"/>
      <c r="M33" s="168"/>
      <c r="N33" s="168"/>
      <c r="O33" s="170"/>
      <c r="P33" s="171"/>
      <c r="Q33" s="693">
        <v>400000</v>
      </c>
      <c r="R33" s="693"/>
      <c r="S33" s="380"/>
    </row>
    <row r="34" spans="1:19" ht="26.25" customHeight="1" hidden="1">
      <c r="A34" s="388"/>
      <c r="B34" s="59"/>
      <c r="C34" s="168"/>
      <c r="D34" s="168"/>
      <c r="E34" s="169"/>
      <c r="F34" s="168"/>
      <c r="G34" s="168"/>
      <c r="H34" s="168"/>
      <c r="I34" s="168"/>
      <c r="J34" s="168"/>
      <c r="K34" s="168"/>
      <c r="L34" s="168"/>
      <c r="M34" s="168"/>
      <c r="N34" s="168"/>
      <c r="O34" s="170"/>
      <c r="P34" s="171"/>
      <c r="Q34" s="693">
        <f>Q26+Q30+Q31</f>
        <v>400000</v>
      </c>
      <c r="R34" s="693"/>
      <c r="S34" s="380"/>
    </row>
    <row r="35" spans="1:19" ht="36.75" customHeight="1">
      <c r="A35" s="685" t="s">
        <v>123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686"/>
      <c r="Q35" s="686"/>
      <c r="R35" s="686"/>
      <c r="S35" s="687"/>
    </row>
    <row r="36" spans="1:60" s="113" customFormat="1" ht="80.25" customHeight="1" hidden="1">
      <c r="A36" s="16">
        <v>1</v>
      </c>
      <c r="B36" s="388" t="s">
        <v>52</v>
      </c>
      <c r="C36" s="590">
        <v>581</v>
      </c>
      <c r="D36" s="591"/>
      <c r="E36" s="18" t="s">
        <v>39</v>
      </c>
      <c r="F36" s="394" t="s">
        <v>76</v>
      </c>
      <c r="G36" s="394" t="s">
        <v>76</v>
      </c>
      <c r="H36" s="395" t="s">
        <v>7</v>
      </c>
      <c r="I36" s="612">
        <v>84544</v>
      </c>
      <c r="J36" s="613"/>
      <c r="K36" s="381"/>
      <c r="L36" s="612">
        <v>73959.7</v>
      </c>
      <c r="M36" s="613"/>
      <c r="N36" s="386">
        <v>62641.85</v>
      </c>
      <c r="O36" s="386">
        <v>1973.18</v>
      </c>
      <c r="P36" s="386">
        <f>0</f>
        <v>0</v>
      </c>
      <c r="Q36" s="612">
        <f>0</f>
        <v>0</v>
      </c>
      <c r="R36" s="613"/>
      <c r="S36" s="386">
        <f>1973.18</f>
        <v>1973.18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s="113" customFormat="1" ht="78" customHeight="1" hidden="1">
      <c r="A37" s="16">
        <v>2</v>
      </c>
      <c r="B37" s="388" t="s">
        <v>53</v>
      </c>
      <c r="C37" s="18">
        <v>405</v>
      </c>
      <c r="D37" s="394"/>
      <c r="E37" s="394" t="s">
        <v>39</v>
      </c>
      <c r="F37" s="394" t="s">
        <v>76</v>
      </c>
      <c r="G37" s="394" t="s">
        <v>76</v>
      </c>
      <c r="H37" s="394" t="s">
        <v>7</v>
      </c>
      <c r="I37" s="612">
        <v>68226</v>
      </c>
      <c r="J37" s="613"/>
      <c r="K37" s="20">
        <v>0.9</v>
      </c>
      <c r="L37" s="386">
        <v>60339.6</v>
      </c>
      <c r="M37" s="612">
        <v>50670.04</v>
      </c>
      <c r="N37" s="613"/>
      <c r="O37" s="386">
        <f>'[1]Подрядный способ'!$J$5</f>
        <v>2028.02</v>
      </c>
      <c r="P37" s="382">
        <f>0</f>
        <v>0</v>
      </c>
      <c r="Q37" s="612">
        <f>0</f>
        <v>0</v>
      </c>
      <c r="R37" s="613"/>
      <c r="S37" s="386">
        <f>O37</f>
        <v>2028.02</v>
      </c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19" ht="38.25" customHeight="1">
      <c r="A38" s="4"/>
      <c r="B38" s="185" t="s">
        <v>92</v>
      </c>
      <c r="C38" s="34"/>
      <c r="D38" s="35"/>
      <c r="E38" s="35"/>
      <c r="F38" s="35"/>
      <c r="G38" s="35"/>
      <c r="H38" s="35"/>
      <c r="I38" s="683">
        <f>SUM(I36:J37)</f>
        <v>152770</v>
      </c>
      <c r="J38" s="684"/>
      <c r="K38" s="38"/>
      <c r="L38" s="39">
        <f>SUM(L36:L37)</f>
        <v>134299.3</v>
      </c>
      <c r="M38" s="683">
        <f>SUM(M36:N37)</f>
        <v>113311.89</v>
      </c>
      <c r="N38" s="684"/>
      <c r="O38" s="39">
        <f>P38+Q38+S38</f>
        <v>4001.2</v>
      </c>
      <c r="P38" s="376"/>
      <c r="Q38" s="653">
        <f>SUM(Q36:R37)</f>
        <v>0</v>
      </c>
      <c r="R38" s="688"/>
      <c r="S38" s="39">
        <f>SUM(S36:S37)</f>
        <v>4001.2</v>
      </c>
    </row>
    <row r="39" spans="1:19" ht="42" customHeight="1" hidden="1">
      <c r="A39" s="4"/>
      <c r="B39" s="6" t="s">
        <v>46</v>
      </c>
      <c r="C39" s="34"/>
      <c r="D39" s="35"/>
      <c r="E39" s="35"/>
      <c r="F39" s="35"/>
      <c r="G39" s="35"/>
      <c r="H39" s="35"/>
      <c r="I39" s="381"/>
      <c r="J39" s="385"/>
      <c r="K39" s="253"/>
      <c r="L39" s="386"/>
      <c r="M39" s="377"/>
      <c r="N39" s="382"/>
      <c r="O39" s="39"/>
      <c r="P39" s="376"/>
      <c r="Q39" s="375"/>
      <c r="R39" s="387"/>
      <c r="S39" s="39">
        <f>S38</f>
        <v>4001.2</v>
      </c>
    </row>
    <row r="40" spans="1:19" ht="0.75" customHeight="1" hidden="1">
      <c r="A40" s="655" t="s">
        <v>28</v>
      </c>
      <c r="B40" s="656"/>
      <c r="C40" s="656"/>
      <c r="D40" s="656"/>
      <c r="E40" s="656"/>
      <c r="F40" s="656"/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7"/>
    </row>
    <row r="41" spans="1:60" s="45" customFormat="1" ht="75.75" customHeight="1" hidden="1">
      <c r="A41" s="8" t="s">
        <v>41</v>
      </c>
      <c r="B41" s="378" t="s">
        <v>41</v>
      </c>
      <c r="C41" s="46" t="s">
        <v>41</v>
      </c>
      <c r="D41" s="8"/>
      <c r="E41" s="8" t="s">
        <v>41</v>
      </c>
      <c r="F41" s="8" t="s">
        <v>41</v>
      </c>
      <c r="G41" s="8"/>
      <c r="H41" s="8" t="s">
        <v>41</v>
      </c>
      <c r="I41" s="381" t="s">
        <v>41</v>
      </c>
      <c r="J41" s="385"/>
      <c r="K41" s="385"/>
      <c r="L41" s="386" t="s">
        <v>41</v>
      </c>
      <c r="M41" s="390"/>
      <c r="N41" s="382" t="s">
        <v>41</v>
      </c>
      <c r="O41" s="42" t="s">
        <v>41</v>
      </c>
      <c r="P41" s="399" t="s">
        <v>41</v>
      </c>
      <c r="Q41" s="398" t="s">
        <v>41</v>
      </c>
      <c r="R41" s="379"/>
      <c r="S41" s="390" t="s">
        <v>41</v>
      </c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s="45" customFormat="1" ht="33.75" customHeight="1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19" ht="46.5" customHeight="1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24.75" customHeight="1">
      <c r="A44" s="594" t="s">
        <v>51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6"/>
    </row>
    <row r="45" spans="1:19" ht="60.75" customHeight="1">
      <c r="A45" s="16" t="s">
        <v>71</v>
      </c>
      <c r="B45" s="61" t="s">
        <v>10</v>
      </c>
      <c r="C45" s="142">
        <v>1717</v>
      </c>
      <c r="D45" s="395"/>
      <c r="E45" s="142"/>
      <c r="F45" s="606" t="s">
        <v>74</v>
      </c>
      <c r="G45" s="607"/>
      <c r="H45" s="395" t="s">
        <v>75</v>
      </c>
      <c r="I45" s="590"/>
      <c r="J45" s="591"/>
      <c r="K45" s="384"/>
      <c r="L45" s="612"/>
      <c r="M45" s="613"/>
      <c r="N45" s="386">
        <v>0</v>
      </c>
      <c r="O45" s="386">
        <v>12000</v>
      </c>
      <c r="P45" s="386">
        <v>0</v>
      </c>
      <c r="Q45" s="612">
        <v>0</v>
      </c>
      <c r="R45" s="613"/>
      <c r="S45" s="386">
        <f>O45</f>
        <v>12000</v>
      </c>
    </row>
    <row r="46" spans="1:19" ht="63.75" customHeight="1">
      <c r="A46" s="16">
        <v>2</v>
      </c>
      <c r="B46" s="61" t="s">
        <v>55</v>
      </c>
      <c r="C46" s="142">
        <v>1206</v>
      </c>
      <c r="D46" s="395"/>
      <c r="E46" s="142"/>
      <c r="F46" s="606" t="s">
        <v>86</v>
      </c>
      <c r="G46" s="607"/>
      <c r="H46" s="395" t="s">
        <v>13</v>
      </c>
      <c r="I46" s="590"/>
      <c r="J46" s="591"/>
      <c r="K46" s="394"/>
      <c r="L46" s="612"/>
      <c r="M46" s="613"/>
      <c r="N46" s="386">
        <v>0</v>
      </c>
      <c r="O46" s="386">
        <v>12000</v>
      </c>
      <c r="P46" s="386">
        <f>0</f>
        <v>0</v>
      </c>
      <c r="Q46" s="612">
        <f>0</f>
        <v>0</v>
      </c>
      <c r="R46" s="613"/>
      <c r="S46" s="386">
        <v>11000</v>
      </c>
    </row>
    <row r="47" spans="1:19" ht="62.25" customHeight="1">
      <c r="A47" s="16">
        <v>3</v>
      </c>
      <c r="B47" s="56" t="s">
        <v>83</v>
      </c>
      <c r="C47" s="142">
        <v>514</v>
      </c>
      <c r="D47" s="395"/>
      <c r="E47" s="142"/>
      <c r="F47" s="606" t="s">
        <v>13</v>
      </c>
      <c r="G47" s="607"/>
      <c r="H47" s="395" t="s">
        <v>9</v>
      </c>
      <c r="I47" s="590"/>
      <c r="J47" s="591"/>
      <c r="K47" s="394"/>
      <c r="L47" s="612"/>
      <c r="M47" s="613"/>
      <c r="N47" s="386">
        <v>0</v>
      </c>
      <c r="O47" s="386">
        <f>S47</f>
        <v>8000</v>
      </c>
      <c r="P47" s="386">
        <f>0</f>
        <v>0</v>
      </c>
      <c r="Q47" s="612">
        <f>0</f>
        <v>0</v>
      </c>
      <c r="R47" s="613"/>
      <c r="S47" s="386">
        <v>8000</v>
      </c>
    </row>
    <row r="48" spans="1:19" ht="60.75" customHeight="1">
      <c r="A48" s="16">
        <v>4</v>
      </c>
      <c r="B48" s="61" t="s">
        <v>93</v>
      </c>
      <c r="C48" s="18">
        <v>365</v>
      </c>
      <c r="D48" s="395"/>
      <c r="E48" s="142"/>
      <c r="F48" s="606" t="s">
        <v>12</v>
      </c>
      <c r="G48" s="607"/>
      <c r="H48" s="395" t="s">
        <v>7</v>
      </c>
      <c r="I48" s="590"/>
      <c r="J48" s="591"/>
      <c r="K48" s="394"/>
      <c r="L48" s="731"/>
      <c r="M48" s="731"/>
      <c r="N48" s="386">
        <v>0</v>
      </c>
      <c r="O48" s="386">
        <f>S48</f>
        <v>8000</v>
      </c>
      <c r="P48" s="386">
        <f>0</f>
        <v>0</v>
      </c>
      <c r="Q48" s="612">
        <f>0</f>
        <v>0</v>
      </c>
      <c r="R48" s="613"/>
      <c r="S48" s="386">
        <v>8000</v>
      </c>
    </row>
    <row r="49" spans="1:19" ht="60.75" customHeight="1">
      <c r="A49" s="16">
        <v>5</v>
      </c>
      <c r="B49" s="61" t="s">
        <v>57</v>
      </c>
      <c r="C49" s="142">
        <v>697</v>
      </c>
      <c r="D49" s="395"/>
      <c r="E49" s="142"/>
      <c r="F49" s="606" t="s">
        <v>12</v>
      </c>
      <c r="G49" s="607"/>
      <c r="H49" s="395" t="s">
        <v>7</v>
      </c>
      <c r="I49" s="590"/>
      <c r="J49" s="591"/>
      <c r="K49" s="394"/>
      <c r="L49" s="612"/>
      <c r="M49" s="613"/>
      <c r="N49" s="386">
        <v>0</v>
      </c>
      <c r="O49" s="386">
        <f>S49</f>
        <v>10000</v>
      </c>
      <c r="P49" s="386">
        <f>0</f>
        <v>0</v>
      </c>
      <c r="Q49" s="612">
        <f>0</f>
        <v>0</v>
      </c>
      <c r="R49" s="613"/>
      <c r="S49" s="386">
        <v>10000</v>
      </c>
    </row>
    <row r="50" spans="1:19" ht="60.75" customHeight="1">
      <c r="A50" s="16">
        <v>6</v>
      </c>
      <c r="B50" s="57" t="s">
        <v>79</v>
      </c>
      <c r="C50" s="142">
        <v>767</v>
      </c>
      <c r="D50" s="395"/>
      <c r="E50" s="142"/>
      <c r="F50" s="606" t="s">
        <v>74</v>
      </c>
      <c r="G50" s="607"/>
      <c r="H50" s="395" t="s">
        <v>75</v>
      </c>
      <c r="I50" s="394"/>
      <c r="J50" s="394"/>
      <c r="K50" s="394"/>
      <c r="L50" s="386"/>
      <c r="M50" s="386"/>
      <c r="N50" s="386">
        <v>0</v>
      </c>
      <c r="O50" s="386">
        <f>S50</f>
        <v>10499.99</v>
      </c>
      <c r="P50" s="386">
        <f>0</f>
        <v>0</v>
      </c>
      <c r="Q50" s="612">
        <f>0</f>
        <v>0</v>
      </c>
      <c r="R50" s="613"/>
      <c r="S50" s="386">
        <v>10499.99</v>
      </c>
    </row>
    <row r="51" spans="1:19" ht="60.75" customHeight="1">
      <c r="A51" s="16">
        <v>7</v>
      </c>
      <c r="B51" s="58" t="s">
        <v>78</v>
      </c>
      <c r="C51" s="142">
        <v>610</v>
      </c>
      <c r="D51" s="395"/>
      <c r="E51" s="142"/>
      <c r="F51" s="606" t="s">
        <v>74</v>
      </c>
      <c r="G51" s="607"/>
      <c r="H51" s="395" t="s">
        <v>75</v>
      </c>
      <c r="I51" s="394"/>
      <c r="J51" s="394"/>
      <c r="K51" s="394"/>
      <c r="L51" s="386"/>
      <c r="M51" s="386"/>
      <c r="N51" s="386">
        <v>0</v>
      </c>
      <c r="O51" s="386">
        <f>S51</f>
        <v>10000</v>
      </c>
      <c r="P51" s="386">
        <f>0</f>
        <v>0</v>
      </c>
      <c r="Q51" s="612">
        <f>0</f>
        <v>0</v>
      </c>
      <c r="R51" s="613"/>
      <c r="S51" s="386">
        <v>10000</v>
      </c>
    </row>
    <row r="52" spans="1:19" ht="60.75" customHeight="1">
      <c r="A52" s="16">
        <v>8</v>
      </c>
      <c r="B52" s="57" t="s">
        <v>58</v>
      </c>
      <c r="C52" s="142">
        <v>601</v>
      </c>
      <c r="D52" s="395"/>
      <c r="E52" s="142"/>
      <c r="F52" s="606" t="s">
        <v>74</v>
      </c>
      <c r="G52" s="607"/>
      <c r="H52" s="395" t="s">
        <v>75</v>
      </c>
      <c r="I52" s="394"/>
      <c r="J52" s="394"/>
      <c r="K52" s="394"/>
      <c r="L52" s="386"/>
      <c r="M52" s="386"/>
      <c r="N52" s="386">
        <v>0</v>
      </c>
      <c r="O52" s="386">
        <v>10000</v>
      </c>
      <c r="P52" s="386">
        <f>0</f>
        <v>0</v>
      </c>
      <c r="Q52" s="612">
        <f>0</f>
        <v>0</v>
      </c>
      <c r="R52" s="613"/>
      <c r="S52" s="386">
        <v>9000</v>
      </c>
    </row>
    <row r="53" spans="1:19" ht="49.5" customHeight="1">
      <c r="A53" s="16">
        <v>9</v>
      </c>
      <c r="B53" s="132" t="s">
        <v>38</v>
      </c>
      <c r="C53" s="143">
        <v>1329</v>
      </c>
      <c r="D53" s="608"/>
      <c r="E53" s="609"/>
      <c r="F53" s="395"/>
      <c r="G53" s="610"/>
      <c r="H53" s="611"/>
      <c r="I53" s="612"/>
      <c r="J53" s="613"/>
      <c r="K53" s="100">
        <v>0.9</v>
      </c>
      <c r="L53" s="100"/>
      <c r="M53" s="616">
        <v>0</v>
      </c>
      <c r="N53" s="617"/>
      <c r="O53" s="131">
        <f>1889.55</f>
        <v>1889.55</v>
      </c>
      <c r="P53" s="383">
        <f>O53</f>
        <v>1889.55</v>
      </c>
      <c r="Q53" s="616">
        <v>0</v>
      </c>
      <c r="R53" s="617"/>
      <c r="S53" s="386">
        <v>1889.55</v>
      </c>
    </row>
    <row r="54" spans="1:19" ht="58.5" customHeight="1">
      <c r="A54" s="16">
        <v>10</v>
      </c>
      <c r="B54" s="57" t="s">
        <v>80</v>
      </c>
      <c r="C54" s="142">
        <v>775</v>
      </c>
      <c r="D54" s="395"/>
      <c r="E54" s="142"/>
      <c r="F54" s="606" t="s">
        <v>8</v>
      </c>
      <c r="G54" s="607"/>
      <c r="H54" s="395" t="s">
        <v>12</v>
      </c>
      <c r="I54" s="394"/>
      <c r="J54" s="394"/>
      <c r="K54" s="394"/>
      <c r="L54" s="386"/>
      <c r="M54" s="386"/>
      <c r="N54" s="386">
        <v>0</v>
      </c>
      <c r="O54" s="386">
        <v>120000</v>
      </c>
      <c r="P54" s="386">
        <v>0</v>
      </c>
      <c r="Q54" s="612">
        <v>0</v>
      </c>
      <c r="R54" s="613"/>
      <c r="S54" s="386">
        <f>7000+2327.06</f>
        <v>9327.06</v>
      </c>
    </row>
    <row r="55" spans="1:19" ht="58.5" customHeight="1">
      <c r="A55" s="16">
        <v>11</v>
      </c>
      <c r="B55" s="57" t="s">
        <v>107</v>
      </c>
      <c r="C55" s="142">
        <v>431</v>
      </c>
      <c r="D55" s="395"/>
      <c r="E55" s="142"/>
      <c r="F55" s="606" t="s">
        <v>13</v>
      </c>
      <c r="G55" s="607"/>
      <c r="H55" s="395" t="s">
        <v>47</v>
      </c>
      <c r="I55" s="394"/>
      <c r="J55" s="394"/>
      <c r="K55" s="394"/>
      <c r="L55" s="386"/>
      <c r="M55" s="386"/>
      <c r="N55" s="386">
        <v>0</v>
      </c>
      <c r="O55" s="386">
        <v>10000</v>
      </c>
      <c r="P55" s="386">
        <v>0</v>
      </c>
      <c r="Q55" s="612">
        <v>0</v>
      </c>
      <c r="R55" s="613"/>
      <c r="S55" s="386">
        <v>8500</v>
      </c>
    </row>
    <row r="56" spans="1:19" ht="58.5" customHeight="1">
      <c r="A56" s="16">
        <v>12</v>
      </c>
      <c r="B56" s="57" t="s">
        <v>108</v>
      </c>
      <c r="C56" s="142">
        <v>932.55</v>
      </c>
      <c r="D56" s="395"/>
      <c r="E56" s="142"/>
      <c r="F56" s="606" t="s">
        <v>13</v>
      </c>
      <c r="G56" s="607"/>
      <c r="H56" s="395" t="s">
        <v>47</v>
      </c>
      <c r="I56" s="394"/>
      <c r="J56" s="394"/>
      <c r="K56" s="394"/>
      <c r="L56" s="386"/>
      <c r="M56" s="386"/>
      <c r="N56" s="386">
        <v>0</v>
      </c>
      <c r="O56" s="386">
        <v>14000</v>
      </c>
      <c r="P56" s="386">
        <v>0</v>
      </c>
      <c r="Q56" s="612">
        <v>0</v>
      </c>
      <c r="R56" s="613"/>
      <c r="S56" s="386">
        <v>11000</v>
      </c>
    </row>
    <row r="57" spans="1:19" ht="58.5" customHeight="1" hidden="1">
      <c r="A57" s="16">
        <v>13</v>
      </c>
      <c r="B57" s="57" t="s">
        <v>109</v>
      </c>
      <c r="C57" s="142">
        <v>924</v>
      </c>
      <c r="D57" s="395"/>
      <c r="E57" s="142"/>
      <c r="F57" s="606" t="s">
        <v>13</v>
      </c>
      <c r="G57" s="607"/>
      <c r="H57" s="395" t="s">
        <v>47</v>
      </c>
      <c r="I57" s="394"/>
      <c r="J57" s="394"/>
      <c r="K57" s="394"/>
      <c r="L57" s="394"/>
      <c r="M57" s="394"/>
      <c r="N57" s="374"/>
      <c r="O57" s="374"/>
      <c r="P57" s="374"/>
      <c r="Q57" s="620"/>
      <c r="R57" s="621"/>
      <c r="S57" s="374"/>
    </row>
    <row r="58" spans="1:19" ht="58.5" customHeight="1" hidden="1">
      <c r="A58" s="16">
        <v>14</v>
      </c>
      <c r="B58" s="57" t="s">
        <v>110</v>
      </c>
      <c r="C58" s="142">
        <v>730</v>
      </c>
      <c r="D58" s="395"/>
      <c r="E58" s="142"/>
      <c r="F58" s="606" t="s">
        <v>13</v>
      </c>
      <c r="G58" s="607"/>
      <c r="H58" s="395" t="s">
        <v>47</v>
      </c>
      <c r="I58" s="394"/>
      <c r="J58" s="394"/>
      <c r="K58" s="394"/>
      <c r="L58" s="394"/>
      <c r="M58" s="394"/>
      <c r="N58" s="374"/>
      <c r="O58" s="374"/>
      <c r="P58" s="374"/>
      <c r="Q58" s="620"/>
      <c r="R58" s="621"/>
      <c r="S58" s="374"/>
    </row>
    <row r="59" spans="1:19" ht="58.5" customHeight="1" hidden="1">
      <c r="A59" s="16">
        <v>15</v>
      </c>
      <c r="B59" s="57" t="s">
        <v>112</v>
      </c>
      <c r="C59" s="142">
        <v>329</v>
      </c>
      <c r="D59" s="395"/>
      <c r="E59" s="142"/>
      <c r="F59" s="606" t="s">
        <v>13</v>
      </c>
      <c r="G59" s="607"/>
      <c r="H59" s="395" t="s">
        <v>47</v>
      </c>
      <c r="I59" s="394"/>
      <c r="J59" s="394"/>
      <c r="K59" s="394"/>
      <c r="L59" s="394"/>
      <c r="M59" s="394"/>
      <c r="N59" s="374"/>
      <c r="O59" s="374"/>
      <c r="P59" s="374"/>
      <c r="Q59" s="620"/>
      <c r="R59" s="621"/>
      <c r="S59" s="374"/>
    </row>
    <row r="60" spans="1:19" ht="58.5" customHeight="1" hidden="1">
      <c r="A60" s="16">
        <v>16</v>
      </c>
      <c r="B60" s="57" t="s">
        <v>113</v>
      </c>
      <c r="C60" s="142">
        <v>554</v>
      </c>
      <c r="D60" s="395"/>
      <c r="E60" s="142"/>
      <c r="F60" s="606" t="s">
        <v>13</v>
      </c>
      <c r="G60" s="607"/>
      <c r="H60" s="395" t="s">
        <v>47</v>
      </c>
      <c r="I60" s="394"/>
      <c r="J60" s="394"/>
      <c r="K60" s="394"/>
      <c r="L60" s="394"/>
      <c r="M60" s="394"/>
      <c r="N60" s="374"/>
      <c r="O60" s="374"/>
      <c r="P60" s="374"/>
      <c r="Q60" s="620"/>
      <c r="R60" s="621"/>
      <c r="S60" s="374"/>
    </row>
    <row r="61" spans="1:19" ht="34.5" customHeight="1">
      <c r="A61" s="4"/>
      <c r="B61" s="188" t="s">
        <v>105</v>
      </c>
      <c r="C61" s="187">
        <f>SUM(C45:C60)</f>
        <v>12481.55</v>
      </c>
      <c r="D61" s="188"/>
      <c r="E61" s="187"/>
      <c r="F61" s="188"/>
      <c r="G61" s="188"/>
      <c r="H61" s="188"/>
      <c r="I61" s="188"/>
      <c r="J61" s="188"/>
      <c r="K61" s="188"/>
      <c r="L61" s="188"/>
      <c r="M61" s="188"/>
      <c r="N61" s="24">
        <f>SUM(N45:N54)</f>
        <v>0</v>
      </c>
      <c r="O61" s="24">
        <f>SUM(O45:O54)</f>
        <v>202389.53999999998</v>
      </c>
      <c r="P61" s="24">
        <f>SUM(P45:P54)</f>
        <v>1889.55</v>
      </c>
      <c r="Q61" s="653">
        <f>SUM(Q45:R54)</f>
        <v>0</v>
      </c>
      <c r="R61" s="654"/>
      <c r="S61" s="24">
        <f>SUM(S45:S58)+S59+S60</f>
        <v>109216.59999999999</v>
      </c>
    </row>
    <row r="62" spans="1:19" ht="32.25" customHeight="1" hidden="1">
      <c r="A62" s="685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7"/>
    </row>
    <row r="63" spans="1:21" ht="45" customHeight="1">
      <c r="A63" s="4"/>
      <c r="B63" s="358" t="s">
        <v>114</v>
      </c>
      <c r="C63" s="622"/>
      <c r="D63" s="623"/>
      <c r="E63" s="5"/>
      <c r="F63" s="622"/>
      <c r="G63" s="623"/>
      <c r="H63" s="4"/>
      <c r="I63" s="683">
        <f>I32+I38</f>
        <v>1510797.1600000001</v>
      </c>
      <c r="J63" s="684"/>
      <c r="K63" s="386"/>
      <c r="L63" s="683">
        <f>L32+L38</f>
        <v>1338600.4200000002</v>
      </c>
      <c r="M63" s="684"/>
      <c r="N63" s="39">
        <f>N32+M38+N61</f>
        <v>384481.35</v>
      </c>
      <c r="O63" s="39">
        <f>O32+O38+O61</f>
        <v>1139522.4</v>
      </c>
      <c r="P63" s="39">
        <f>P32+P61</f>
        <v>80120.44</v>
      </c>
      <c r="Q63" s="683">
        <f>Q32</f>
        <v>400000</v>
      </c>
      <c r="R63" s="684"/>
      <c r="S63" s="39">
        <f>S26+S38+S61</f>
        <v>646349.46</v>
      </c>
      <c r="U63" s="238">
        <f>S63-S64</f>
        <v>388051.79999999993</v>
      </c>
    </row>
    <row r="64" spans="1:19" ht="38.25" customHeight="1">
      <c r="A64" s="118"/>
      <c r="B64" s="61" t="s">
        <v>120</v>
      </c>
      <c r="C64" s="396"/>
      <c r="D64" s="397"/>
      <c r="E64" s="119"/>
      <c r="F64" s="396"/>
      <c r="G64" s="397"/>
      <c r="H64" s="118"/>
      <c r="I64" s="254"/>
      <c r="J64" s="255"/>
      <c r="K64" s="56"/>
      <c r="L64" s="256"/>
      <c r="M64" s="126"/>
      <c r="N64" s="157"/>
      <c r="O64" s="128"/>
      <c r="P64" s="129"/>
      <c r="Q64" s="673"/>
      <c r="R64" s="673"/>
      <c r="S64" s="386">
        <v>258297.66</v>
      </c>
    </row>
    <row r="65" spans="2:9" ht="20.25">
      <c r="B65" s="350" t="s">
        <v>100</v>
      </c>
      <c r="C65" s="350"/>
      <c r="D65" s="350"/>
      <c r="E65" s="350"/>
      <c r="F65" s="350"/>
      <c r="G65" s="350"/>
      <c r="H65" s="350" t="s">
        <v>95</v>
      </c>
      <c r="I65" s="350"/>
    </row>
    <row r="66" spans="2:19" ht="25.5">
      <c r="B66" s="350" t="s">
        <v>96</v>
      </c>
      <c r="C66" s="350"/>
      <c r="D66" s="350"/>
      <c r="E66" s="350"/>
      <c r="F66" s="350"/>
      <c r="G66" s="350"/>
      <c r="H66" s="350" t="s">
        <v>45</v>
      </c>
      <c r="I66" s="350"/>
      <c r="J66" s="173"/>
      <c r="K66" s="173"/>
      <c r="L66" s="173"/>
      <c r="M66" s="174"/>
      <c r="N66" s="174"/>
      <c r="P66" s="25"/>
      <c r="Q66" s="25"/>
      <c r="S66" s="23"/>
    </row>
    <row r="67" spans="2:14" ht="12.75">
      <c r="B67" s="352"/>
      <c r="C67" s="352"/>
      <c r="D67" s="352"/>
      <c r="E67" s="352"/>
      <c r="F67" s="352"/>
      <c r="G67" s="352"/>
      <c r="H67" s="352"/>
      <c r="I67" s="352"/>
      <c r="J67" s="174"/>
      <c r="K67" s="174"/>
      <c r="L67" s="174"/>
      <c r="M67" s="174"/>
      <c r="N67" s="174"/>
    </row>
    <row r="68" spans="2:20" ht="20.25">
      <c r="B68" s="352"/>
      <c r="C68" s="352"/>
      <c r="D68" s="352"/>
      <c r="E68" s="352"/>
      <c r="F68" s="352"/>
      <c r="G68" s="352"/>
      <c r="H68" s="352"/>
      <c r="I68" s="352"/>
      <c r="J68" s="174"/>
      <c r="K68" s="174"/>
      <c r="L68" s="174"/>
      <c r="M68" s="174"/>
      <c r="N68" s="174"/>
      <c r="S68" s="360"/>
      <c r="T68" s="359">
        <v>258</v>
      </c>
    </row>
    <row r="69" spans="10:20" ht="20.25">
      <c r="J69" s="173"/>
      <c r="K69" s="173"/>
      <c r="L69" s="173"/>
      <c r="M69" s="173"/>
      <c r="N69" s="173"/>
      <c r="S69" s="25"/>
      <c r="T69" s="359">
        <v>388</v>
      </c>
    </row>
    <row r="70" spans="2:20" ht="20.25">
      <c r="B70" s="352"/>
      <c r="C70" s="352"/>
      <c r="D70" s="352"/>
      <c r="E70" s="352"/>
      <c r="F70" s="352"/>
      <c r="G70" s="352"/>
      <c r="H70" s="352"/>
      <c r="I70" s="352"/>
      <c r="J70" s="174"/>
      <c r="K70" s="174"/>
      <c r="L70" s="174"/>
      <c r="M70" s="174"/>
      <c r="N70" s="174"/>
      <c r="T70" s="359">
        <f>SUM(T68:T70)</f>
        <v>3618246</v>
      </c>
    </row>
    <row r="71" spans="2:14" ht="12.75"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</row>
    <row r="72" ht="22.5" customHeight="1"/>
  </sheetData>
  <mergeCells count="142">
    <mergeCell ref="C7:P7"/>
    <mergeCell ref="A9:A13"/>
    <mergeCell ref="B9:B13"/>
    <mergeCell ref="C9:C13"/>
    <mergeCell ref="D9:E13"/>
    <mergeCell ref="F9:H10"/>
    <mergeCell ref="I9:L9"/>
    <mergeCell ref="M9:N13"/>
    <mergeCell ref="O9:S9"/>
    <mergeCell ref="I10:L10"/>
    <mergeCell ref="D14:E14"/>
    <mergeCell ref="G14:H14"/>
    <mergeCell ref="I14:J14"/>
    <mergeCell ref="M14:N14"/>
    <mergeCell ref="Q14:R14"/>
    <mergeCell ref="A15:S15"/>
    <mergeCell ref="O10:O13"/>
    <mergeCell ref="P10:S10"/>
    <mergeCell ref="G11:H11"/>
    <mergeCell ref="I11:J13"/>
    <mergeCell ref="L11:L13"/>
    <mergeCell ref="P11:P13"/>
    <mergeCell ref="Q11:S12"/>
    <mergeCell ref="G12:H12"/>
    <mergeCell ref="G13:H13"/>
    <mergeCell ref="Q13:R13"/>
    <mergeCell ref="D16:E16"/>
    <mergeCell ref="I16:J16"/>
    <mergeCell ref="M16:N16"/>
    <mergeCell ref="Q16:R16"/>
    <mergeCell ref="D17:E17"/>
    <mergeCell ref="G17:H17"/>
    <mergeCell ref="I17:J17"/>
    <mergeCell ref="M17:N17"/>
    <mergeCell ref="Q17:R17"/>
    <mergeCell ref="D18:E18"/>
    <mergeCell ref="G18:H18"/>
    <mergeCell ref="I18:J18"/>
    <mergeCell ref="M18:N18"/>
    <mergeCell ref="Q18:R18"/>
    <mergeCell ref="D19:E19"/>
    <mergeCell ref="G19:H19"/>
    <mergeCell ref="I19:J19"/>
    <mergeCell ref="M19:N19"/>
    <mergeCell ref="Q19:R19"/>
    <mergeCell ref="Q22:R22"/>
    <mergeCell ref="Q23:R23"/>
    <mergeCell ref="Q24:R24"/>
    <mergeCell ref="Q25:R25"/>
    <mergeCell ref="A26:B26"/>
    <mergeCell ref="I26:J26"/>
    <mergeCell ref="M26:N26"/>
    <mergeCell ref="Q26:R26"/>
    <mergeCell ref="D20:E20"/>
    <mergeCell ref="G20:H20"/>
    <mergeCell ref="I20:J20"/>
    <mergeCell ref="M20:N20"/>
    <mergeCell ref="Q20:R20"/>
    <mergeCell ref="I21:J21"/>
    <mergeCell ref="M21:N21"/>
    <mergeCell ref="Q21:R21"/>
    <mergeCell ref="B29:S29"/>
    <mergeCell ref="I30:J30"/>
    <mergeCell ref="M30:N30"/>
    <mergeCell ref="Q30:R30"/>
    <mergeCell ref="Q31:R31"/>
    <mergeCell ref="A32:B32"/>
    <mergeCell ref="Q32:R32"/>
    <mergeCell ref="C27:D27"/>
    <mergeCell ref="F27:G27"/>
    <mergeCell ref="I27:J27"/>
    <mergeCell ref="L27:M27"/>
    <mergeCell ref="Q27:R27"/>
    <mergeCell ref="Q28:R28"/>
    <mergeCell ref="I37:J37"/>
    <mergeCell ref="M37:N37"/>
    <mergeCell ref="Q37:R37"/>
    <mergeCell ref="I38:J38"/>
    <mergeCell ref="M38:N38"/>
    <mergeCell ref="Q38:R38"/>
    <mergeCell ref="Q33:R33"/>
    <mergeCell ref="Q34:R34"/>
    <mergeCell ref="A35:S35"/>
    <mergeCell ref="C36:D36"/>
    <mergeCell ref="I36:J36"/>
    <mergeCell ref="L36:M36"/>
    <mergeCell ref="Q36:R36"/>
    <mergeCell ref="F46:G46"/>
    <mergeCell ref="I46:J46"/>
    <mergeCell ref="L46:M46"/>
    <mergeCell ref="Q46:R46"/>
    <mergeCell ref="F47:G47"/>
    <mergeCell ref="I47:J47"/>
    <mergeCell ref="L47:M47"/>
    <mergeCell ref="Q47:R47"/>
    <mergeCell ref="A40:S40"/>
    <mergeCell ref="A44:S44"/>
    <mergeCell ref="F45:G45"/>
    <mergeCell ref="I45:J45"/>
    <mergeCell ref="L45:M45"/>
    <mergeCell ref="Q45:R45"/>
    <mergeCell ref="F50:G50"/>
    <mergeCell ref="Q50:R50"/>
    <mergeCell ref="F51:G51"/>
    <mergeCell ref="Q51:R51"/>
    <mergeCell ref="F52:G52"/>
    <mergeCell ref="Q52:R52"/>
    <mergeCell ref="F48:G48"/>
    <mergeCell ref="I48:J48"/>
    <mergeCell ref="L48:M48"/>
    <mergeCell ref="Q48:R48"/>
    <mergeCell ref="F49:G49"/>
    <mergeCell ref="I49:J49"/>
    <mergeCell ref="L49:M49"/>
    <mergeCell ref="Q49:R49"/>
    <mergeCell ref="F55:G55"/>
    <mergeCell ref="Q55:R55"/>
    <mergeCell ref="F56:G56"/>
    <mergeCell ref="Q56:R56"/>
    <mergeCell ref="F57:G57"/>
    <mergeCell ref="Q57:R57"/>
    <mergeCell ref="D53:E53"/>
    <mergeCell ref="G53:H53"/>
    <mergeCell ref="I53:J53"/>
    <mergeCell ref="M53:N53"/>
    <mergeCell ref="Q53:R53"/>
    <mergeCell ref="F54:G54"/>
    <mergeCell ref="Q54:R54"/>
    <mergeCell ref="Q64:R64"/>
    <mergeCell ref="Q61:R61"/>
    <mergeCell ref="A62:S62"/>
    <mergeCell ref="C63:D63"/>
    <mergeCell ref="F63:G63"/>
    <mergeCell ref="I63:J63"/>
    <mergeCell ref="L63:M63"/>
    <mergeCell ref="Q63:R63"/>
    <mergeCell ref="F58:G58"/>
    <mergeCell ref="Q58:R58"/>
    <mergeCell ref="F59:G59"/>
    <mergeCell ref="Q59:R59"/>
    <mergeCell ref="F60:G60"/>
    <mergeCell ref="Q60:R60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1"/>
  <sheetViews>
    <sheetView tabSelected="1" view="pageBreakPreview" zoomScale="80" zoomScaleSheetLayoutView="80" workbookViewId="0" topLeftCell="A19">
      <selection activeCell="A70" sqref="A70:B70"/>
    </sheetView>
  </sheetViews>
  <sheetFormatPr defaultColWidth="9.140625" defaultRowHeight="12.75"/>
  <cols>
    <col min="1" max="1" width="5.28125" style="511" customWidth="1"/>
    <col min="2" max="2" width="66.140625" style="524" customWidth="1"/>
    <col min="3" max="3" width="13.28125" style="471" customWidth="1"/>
    <col min="4" max="4" width="12.8515625" style="471" customWidth="1"/>
    <col min="5" max="5" width="15.28125" style="471" customWidth="1"/>
    <col min="6" max="6" width="15.00390625" style="471" customWidth="1"/>
    <col min="7" max="7" width="16.8515625" style="471" customWidth="1"/>
    <col min="8" max="9" width="19.7109375" style="471" customWidth="1"/>
    <col min="10" max="10" width="18.140625" style="471" customWidth="1"/>
    <col min="11" max="11" width="20.00390625" style="471" customWidth="1"/>
    <col min="12" max="12" width="16.7109375" style="471" customWidth="1"/>
    <col min="13" max="13" width="23.00390625" style="471" customWidth="1"/>
    <col min="14" max="14" width="51.421875" style="474" customWidth="1"/>
    <col min="15" max="15" width="33.140625" style="474" customWidth="1"/>
    <col min="16" max="16" width="20.28125" style="474" customWidth="1"/>
    <col min="17" max="54" width="9.140625" style="474" customWidth="1"/>
    <col min="55" max="16384" width="9.140625" style="473" customWidth="1"/>
  </cols>
  <sheetData>
    <row r="1" spans="1:256" s="10" customFormat="1" ht="23.25">
      <c r="A1" s="346"/>
      <c r="B1" s="190"/>
      <c r="C1" s="190"/>
      <c r="D1" s="189"/>
      <c r="E1" s="190"/>
      <c r="F1" s="190"/>
      <c r="G1" s="190"/>
      <c r="H1" s="190"/>
      <c r="I1" s="190"/>
      <c r="J1" s="190"/>
      <c r="K1" s="579" t="s">
        <v>33</v>
      </c>
      <c r="L1" s="579"/>
      <c r="M1" s="579"/>
      <c r="N1" s="189"/>
      <c r="O1" s="190"/>
      <c r="P1" s="191"/>
      <c r="R1" s="190"/>
      <c r="S1" s="2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50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50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2"/>
      <c r="BJ1" s="1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1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1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1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1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1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1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1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1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1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1"/>
      <c r="IU1" s="2"/>
      <c r="IV1" s="2"/>
    </row>
    <row r="2" spans="1:256" s="10" customFormat="1" ht="23.25">
      <c r="A2" s="346"/>
      <c r="B2" s="190"/>
      <c r="C2" s="189"/>
      <c r="D2" s="189"/>
      <c r="E2" s="190"/>
      <c r="F2" s="190"/>
      <c r="G2" s="190"/>
      <c r="H2" s="190"/>
      <c r="I2" s="190"/>
      <c r="J2" s="190"/>
      <c r="K2" s="579" t="s">
        <v>224</v>
      </c>
      <c r="L2" s="579"/>
      <c r="M2" s="579"/>
      <c r="N2" s="189"/>
      <c r="O2" s="189"/>
      <c r="P2" s="190"/>
      <c r="R2" s="189"/>
      <c r="S2" s="2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50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50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2"/>
      <c r="BJ2" s="2"/>
      <c r="BK2" s="1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1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1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1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1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1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1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1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1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1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1"/>
      <c r="IV2" s="2"/>
    </row>
    <row r="3" spans="1:256" s="10" customFormat="1" ht="23.25">
      <c r="A3" s="346"/>
      <c r="B3" s="190"/>
      <c r="C3" s="189"/>
      <c r="D3" s="189"/>
      <c r="E3" s="190"/>
      <c r="F3" s="190"/>
      <c r="G3" s="190"/>
      <c r="H3" s="190"/>
      <c r="I3" s="190"/>
      <c r="J3" s="190"/>
      <c r="K3" s="579" t="s">
        <v>225</v>
      </c>
      <c r="L3" s="579"/>
      <c r="M3" s="579"/>
      <c r="N3" s="189"/>
      <c r="O3" s="189"/>
      <c r="P3" s="190"/>
      <c r="R3" s="189"/>
      <c r="S3" s="2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50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2"/>
      <c r="BJ3" s="2"/>
      <c r="BK3" s="1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1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1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1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1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1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1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1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1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1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1"/>
      <c r="IV3" s="2"/>
    </row>
    <row r="4" spans="1:256" s="10" customFormat="1" ht="23.25">
      <c r="A4" s="346"/>
      <c r="B4" s="579" t="s">
        <v>226</v>
      </c>
      <c r="C4" s="580"/>
      <c r="D4" s="189"/>
      <c r="E4" s="190"/>
      <c r="F4" s="190"/>
      <c r="G4" s="190"/>
      <c r="H4" s="190"/>
      <c r="I4" s="190"/>
      <c r="J4" s="190"/>
      <c r="K4" s="579" t="s">
        <v>227</v>
      </c>
      <c r="L4" s="579"/>
      <c r="M4" s="579"/>
      <c r="N4" s="189"/>
      <c r="O4" s="189"/>
      <c r="P4" s="190"/>
      <c r="R4" s="189"/>
      <c r="S4" s="2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2"/>
      <c r="BJ4" s="2"/>
      <c r="BK4" s="1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1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1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1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1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1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1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1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1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1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1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1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1"/>
      <c r="IV4" s="2"/>
    </row>
    <row r="5" spans="1:256" s="10" customFormat="1" ht="40.5" customHeight="1">
      <c r="A5" s="346"/>
      <c r="B5" s="581" t="s">
        <v>228</v>
      </c>
      <c r="C5" s="580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90"/>
      <c r="R5" s="189"/>
      <c r="S5" s="2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50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2"/>
      <c r="BJ5" s="2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1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1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1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1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1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1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1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1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1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1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1"/>
      <c r="IV5" s="2"/>
    </row>
    <row r="6" spans="2:3" ht="23.25">
      <c r="B6" s="582"/>
      <c r="C6" s="516"/>
    </row>
    <row r="7" spans="1:54" s="522" customFormat="1" ht="8.25" customHeight="1">
      <c r="A7" s="736"/>
      <c r="B7" s="736"/>
      <c r="C7" s="736"/>
      <c r="D7" s="736"/>
      <c r="E7" s="736"/>
      <c r="F7" s="736"/>
      <c r="G7" s="736"/>
      <c r="H7" s="736"/>
      <c r="I7" s="736"/>
      <c r="J7" s="736"/>
      <c r="K7" s="736"/>
      <c r="L7" s="736"/>
      <c r="M7" s="736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  <c r="AA7" s="521"/>
      <c r="AB7" s="521"/>
      <c r="AC7" s="521"/>
      <c r="AD7" s="521"/>
      <c r="AE7" s="521"/>
      <c r="AF7" s="521"/>
      <c r="AG7" s="521"/>
      <c r="AH7" s="521"/>
      <c r="AI7" s="521"/>
      <c r="AJ7" s="521"/>
      <c r="AK7" s="521"/>
      <c r="AL7" s="521"/>
      <c r="AM7" s="521"/>
      <c r="AN7" s="521"/>
      <c r="AO7" s="521"/>
      <c r="AP7" s="521"/>
      <c r="AQ7" s="521"/>
      <c r="AR7" s="521"/>
      <c r="AS7" s="521"/>
      <c r="AT7" s="521"/>
      <c r="AU7" s="521"/>
      <c r="AV7" s="521"/>
      <c r="AW7" s="521"/>
      <c r="AX7" s="521"/>
      <c r="AY7" s="521"/>
      <c r="AZ7" s="521"/>
      <c r="BA7" s="521"/>
      <c r="BB7" s="521"/>
    </row>
    <row r="8" ht="11.25" customHeight="1">
      <c r="A8" s="523"/>
    </row>
    <row r="9" spans="1:54" s="526" customFormat="1" ht="43.5" customHeight="1">
      <c r="A9" s="585" t="s">
        <v>4</v>
      </c>
      <c r="B9" s="585" t="s">
        <v>14</v>
      </c>
      <c r="C9" s="585" t="s">
        <v>15</v>
      </c>
      <c r="D9" s="715" t="s">
        <v>16</v>
      </c>
      <c r="E9" s="585" t="s">
        <v>17</v>
      </c>
      <c r="F9" s="585"/>
      <c r="G9" s="585" t="s">
        <v>18</v>
      </c>
      <c r="H9" s="585"/>
      <c r="I9" s="585" t="s">
        <v>200</v>
      </c>
      <c r="J9" s="585" t="s">
        <v>182</v>
      </c>
      <c r="K9" s="585"/>
      <c r="L9" s="585"/>
      <c r="M9" s="585"/>
      <c r="N9" s="525"/>
      <c r="O9" s="525"/>
      <c r="P9" s="525"/>
      <c r="Q9" s="525"/>
      <c r="R9" s="525"/>
      <c r="S9" s="525"/>
      <c r="T9" s="525"/>
      <c r="U9" s="525"/>
      <c r="V9" s="525"/>
      <c r="W9" s="525"/>
      <c r="X9" s="525"/>
      <c r="Y9" s="525"/>
      <c r="Z9" s="525"/>
      <c r="AA9" s="525"/>
      <c r="AB9" s="525"/>
      <c r="AC9" s="525"/>
      <c r="AD9" s="525"/>
      <c r="AE9" s="525"/>
      <c r="AF9" s="525"/>
      <c r="AG9" s="525"/>
      <c r="AH9" s="525"/>
      <c r="AI9" s="525"/>
      <c r="AJ9" s="525"/>
      <c r="AK9" s="525"/>
      <c r="AL9" s="525"/>
      <c r="AM9" s="525"/>
      <c r="AN9" s="525"/>
      <c r="AO9" s="525"/>
      <c r="AP9" s="525"/>
      <c r="AQ9" s="525"/>
      <c r="AR9" s="525"/>
      <c r="AS9" s="525"/>
      <c r="AT9" s="525"/>
      <c r="AU9" s="525"/>
      <c r="AV9" s="525"/>
      <c r="AW9" s="525"/>
      <c r="AX9" s="525"/>
      <c r="AY9" s="525"/>
      <c r="AZ9" s="525"/>
      <c r="BA9" s="525"/>
      <c r="BB9" s="525"/>
    </row>
    <row r="10" spans="1:54" s="526" customFormat="1" ht="18.75" customHeight="1">
      <c r="A10" s="585"/>
      <c r="B10" s="585"/>
      <c r="C10" s="585"/>
      <c r="D10" s="717"/>
      <c r="E10" s="585"/>
      <c r="F10" s="585"/>
      <c r="G10" s="585" t="s">
        <v>77</v>
      </c>
      <c r="H10" s="585"/>
      <c r="I10" s="585"/>
      <c r="J10" s="585" t="s">
        <v>19</v>
      </c>
      <c r="K10" s="585"/>
      <c r="L10" s="585"/>
      <c r="M10" s="585"/>
      <c r="N10" s="525"/>
      <c r="O10" s="525"/>
      <c r="P10" s="525"/>
      <c r="Q10" s="525"/>
      <c r="R10" s="525"/>
      <c r="S10" s="525"/>
      <c r="T10" s="525"/>
      <c r="U10" s="525"/>
      <c r="V10" s="525"/>
      <c r="W10" s="525"/>
      <c r="X10" s="525"/>
      <c r="Y10" s="525"/>
      <c r="Z10" s="525"/>
      <c r="AA10" s="525"/>
      <c r="AB10" s="525"/>
      <c r="AC10" s="525"/>
      <c r="AD10" s="525"/>
      <c r="AE10" s="525"/>
      <c r="AF10" s="525"/>
      <c r="AG10" s="525"/>
      <c r="AH10" s="525"/>
      <c r="AI10" s="525"/>
      <c r="AJ10" s="525"/>
      <c r="AK10" s="525"/>
      <c r="AL10" s="525"/>
      <c r="AM10" s="525"/>
      <c r="AN10" s="525"/>
      <c r="AO10" s="525"/>
      <c r="AP10" s="525"/>
      <c r="AQ10" s="525"/>
      <c r="AR10" s="525"/>
      <c r="AS10" s="525"/>
      <c r="AT10" s="525"/>
      <c r="AU10" s="525"/>
      <c r="AV10" s="525"/>
      <c r="AW10" s="525"/>
      <c r="AX10" s="525"/>
      <c r="AY10" s="525"/>
      <c r="AZ10" s="525"/>
      <c r="BA10" s="525"/>
      <c r="BB10" s="525"/>
    </row>
    <row r="11" spans="1:54" s="526" customFormat="1" ht="18.75" customHeight="1">
      <c r="A11" s="585"/>
      <c r="B11" s="585"/>
      <c r="C11" s="585"/>
      <c r="D11" s="717"/>
      <c r="E11" s="566" t="s">
        <v>20</v>
      </c>
      <c r="F11" s="567" t="s">
        <v>21</v>
      </c>
      <c r="G11" s="585" t="s">
        <v>22</v>
      </c>
      <c r="H11" s="585" t="s">
        <v>23</v>
      </c>
      <c r="I11" s="585"/>
      <c r="J11" s="585"/>
      <c r="K11" s="585" t="s">
        <v>230</v>
      </c>
      <c r="L11" s="585" t="s">
        <v>229</v>
      </c>
      <c r="M11" s="585"/>
      <c r="N11" s="525"/>
      <c r="O11" s="525"/>
      <c r="P11" s="525"/>
      <c r="Q11" s="525"/>
      <c r="R11" s="525"/>
      <c r="S11" s="525"/>
      <c r="T11" s="525"/>
      <c r="U11" s="525"/>
      <c r="V11" s="525"/>
      <c r="W11" s="525"/>
      <c r="X11" s="525"/>
      <c r="Y11" s="525"/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</row>
    <row r="12" spans="1:54" s="526" customFormat="1" ht="18.75" customHeight="1">
      <c r="A12" s="585"/>
      <c r="B12" s="585"/>
      <c r="C12" s="585"/>
      <c r="D12" s="717"/>
      <c r="E12" s="566" t="s">
        <v>69</v>
      </c>
      <c r="F12" s="567" t="s">
        <v>69</v>
      </c>
      <c r="G12" s="585"/>
      <c r="H12" s="585"/>
      <c r="I12" s="585"/>
      <c r="J12" s="585"/>
      <c r="K12" s="585"/>
      <c r="L12" s="585"/>
      <c r="M12" s="585"/>
      <c r="N12" s="525"/>
      <c r="O12" s="525"/>
      <c r="P12" s="525"/>
      <c r="Q12" s="525"/>
      <c r="R12" s="525"/>
      <c r="S12" s="525"/>
      <c r="T12" s="525"/>
      <c r="U12" s="525"/>
      <c r="V12" s="525"/>
      <c r="W12" s="525"/>
      <c r="X12" s="525"/>
      <c r="Y12" s="525"/>
      <c r="Z12" s="525"/>
      <c r="AA12" s="525"/>
      <c r="AB12" s="525"/>
      <c r="AC12" s="525"/>
      <c r="AD12" s="525"/>
      <c r="AE12" s="525"/>
      <c r="AF12" s="525"/>
      <c r="AG12" s="525"/>
      <c r="AH12" s="525"/>
      <c r="AI12" s="525"/>
      <c r="AJ12" s="525"/>
      <c r="AK12" s="525"/>
      <c r="AL12" s="525"/>
      <c r="AM12" s="525"/>
      <c r="AN12" s="525"/>
      <c r="AO12" s="525"/>
      <c r="AP12" s="525"/>
      <c r="AQ12" s="525"/>
      <c r="AR12" s="525"/>
      <c r="AS12" s="525"/>
      <c r="AT12" s="525"/>
      <c r="AU12" s="525"/>
      <c r="AV12" s="525"/>
      <c r="AW12" s="525"/>
      <c r="AX12" s="525"/>
      <c r="AY12" s="525"/>
      <c r="AZ12" s="525"/>
      <c r="BA12" s="525"/>
      <c r="BB12" s="525"/>
    </row>
    <row r="13" spans="1:54" s="526" customFormat="1" ht="118.5" customHeight="1">
      <c r="A13" s="585"/>
      <c r="B13" s="585"/>
      <c r="C13" s="585"/>
      <c r="D13" s="719"/>
      <c r="E13" s="566" t="s">
        <v>179</v>
      </c>
      <c r="F13" s="567" t="s">
        <v>179</v>
      </c>
      <c r="G13" s="585"/>
      <c r="H13" s="585"/>
      <c r="I13" s="585"/>
      <c r="J13" s="585"/>
      <c r="K13" s="585"/>
      <c r="L13" s="566" t="s">
        <v>24</v>
      </c>
      <c r="M13" s="566" t="s">
        <v>25</v>
      </c>
      <c r="N13" s="525"/>
      <c r="O13" s="525"/>
      <c r="P13" s="525"/>
      <c r="Q13" s="525"/>
      <c r="R13" s="525"/>
      <c r="S13" s="525"/>
      <c r="T13" s="525"/>
      <c r="U13" s="525"/>
      <c r="V13" s="525"/>
      <c r="W13" s="525"/>
      <c r="X13" s="525"/>
      <c r="Y13" s="525"/>
      <c r="Z13" s="525"/>
      <c r="AA13" s="525"/>
      <c r="AB13" s="525"/>
      <c r="AC13" s="525"/>
      <c r="AD13" s="525"/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  <c r="AW13" s="525"/>
      <c r="AX13" s="525"/>
      <c r="AY13" s="525"/>
      <c r="AZ13" s="525"/>
      <c r="BA13" s="525"/>
      <c r="BB13" s="525"/>
    </row>
    <row r="14" spans="1:54" s="526" customFormat="1" ht="18.75">
      <c r="A14" s="566">
        <v>1</v>
      </c>
      <c r="B14" s="566">
        <v>2</v>
      </c>
      <c r="C14" s="566">
        <v>3</v>
      </c>
      <c r="D14" s="527">
        <v>4</v>
      </c>
      <c r="E14" s="566">
        <v>5</v>
      </c>
      <c r="F14" s="527">
        <v>6</v>
      </c>
      <c r="G14" s="566">
        <v>7</v>
      </c>
      <c r="H14" s="527">
        <v>8</v>
      </c>
      <c r="I14" s="566">
        <v>9</v>
      </c>
      <c r="J14" s="527">
        <v>10</v>
      </c>
      <c r="K14" s="566">
        <v>11</v>
      </c>
      <c r="L14" s="527">
        <v>12</v>
      </c>
      <c r="M14" s="566">
        <v>13</v>
      </c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</row>
    <row r="15" spans="1:13" ht="23.25" customHeight="1">
      <c r="A15" s="597" t="s">
        <v>26</v>
      </c>
      <c r="B15" s="597"/>
      <c r="C15" s="597"/>
      <c r="D15" s="597"/>
      <c r="E15" s="597"/>
      <c r="F15" s="597"/>
      <c r="G15" s="597"/>
      <c r="H15" s="597"/>
      <c r="I15" s="597"/>
      <c r="J15" s="597"/>
      <c r="K15" s="597"/>
      <c r="L15" s="597"/>
      <c r="M15" s="597"/>
    </row>
    <row r="16" spans="1:13" ht="33">
      <c r="A16" s="498">
        <v>1</v>
      </c>
      <c r="B16" s="424" t="s">
        <v>211</v>
      </c>
      <c r="C16" s="494">
        <v>354</v>
      </c>
      <c r="D16" s="528">
        <v>354</v>
      </c>
      <c r="E16" s="495" t="s">
        <v>180</v>
      </c>
      <c r="F16" s="495" t="s">
        <v>201</v>
      </c>
      <c r="G16" s="528">
        <f>96.9*1000</f>
        <v>96900</v>
      </c>
      <c r="H16" s="494">
        <v>87900</v>
      </c>
      <c r="I16" s="494">
        <v>0</v>
      </c>
      <c r="J16" s="494">
        <f>SUM(K16:M16)</f>
        <v>87900</v>
      </c>
      <c r="K16" s="457">
        <v>0</v>
      </c>
      <c r="L16" s="457">
        <v>0</v>
      </c>
      <c r="M16" s="457">
        <v>87900</v>
      </c>
    </row>
    <row r="17" spans="1:13" ht="38.25" customHeight="1">
      <c r="A17" s="498">
        <v>2</v>
      </c>
      <c r="B17" s="424" t="s">
        <v>210</v>
      </c>
      <c r="C17" s="494">
        <v>356</v>
      </c>
      <c r="D17" s="528">
        <v>356</v>
      </c>
      <c r="E17" s="495" t="s">
        <v>180</v>
      </c>
      <c r="F17" s="535" t="s">
        <v>201</v>
      </c>
      <c r="G17" s="528">
        <f>101.013*1000</f>
        <v>101013</v>
      </c>
      <c r="H17" s="494">
        <v>90000</v>
      </c>
      <c r="I17" s="494">
        <v>0</v>
      </c>
      <c r="J17" s="494">
        <f aca="true" t="shared" si="0" ref="J17:J29">SUM(K17:M17)</f>
        <v>90000</v>
      </c>
      <c r="K17" s="457">
        <v>0</v>
      </c>
      <c r="L17" s="457">
        <v>0</v>
      </c>
      <c r="M17" s="494">
        <v>90000</v>
      </c>
    </row>
    <row r="18" spans="1:13" ht="43.5" customHeight="1">
      <c r="A18" s="498">
        <v>3</v>
      </c>
      <c r="B18" s="529" t="s">
        <v>184</v>
      </c>
      <c r="C18" s="494">
        <v>906</v>
      </c>
      <c r="D18" s="528">
        <v>906</v>
      </c>
      <c r="E18" s="495" t="s">
        <v>201</v>
      </c>
      <c r="F18" s="535" t="s">
        <v>202</v>
      </c>
      <c r="G18" s="528" t="s">
        <v>214</v>
      </c>
      <c r="H18" s="494">
        <v>220000</v>
      </c>
      <c r="I18" s="494">
        <v>0</v>
      </c>
      <c r="J18" s="494">
        <f t="shared" si="0"/>
        <v>220000</v>
      </c>
      <c r="K18" s="457">
        <v>0</v>
      </c>
      <c r="L18" s="494">
        <v>220000</v>
      </c>
      <c r="M18" s="494">
        <v>0</v>
      </c>
    </row>
    <row r="19" spans="1:14" ht="39" customHeight="1">
      <c r="A19" s="498">
        <v>4</v>
      </c>
      <c r="B19" s="529" t="s">
        <v>185</v>
      </c>
      <c r="C19" s="494">
        <v>2844</v>
      </c>
      <c r="D19" s="528">
        <v>2844</v>
      </c>
      <c r="E19" s="495" t="s">
        <v>201</v>
      </c>
      <c r="F19" s="535" t="s">
        <v>203</v>
      </c>
      <c r="G19" s="528">
        <v>420340</v>
      </c>
      <c r="H19" s="494">
        <v>400340</v>
      </c>
      <c r="I19" s="494">
        <v>0</v>
      </c>
      <c r="J19" s="494">
        <f t="shared" si="0"/>
        <v>400340</v>
      </c>
      <c r="K19" s="457">
        <v>0</v>
      </c>
      <c r="L19" s="457">
        <v>0</v>
      </c>
      <c r="M19" s="494">
        <v>400340</v>
      </c>
      <c r="N19" s="530"/>
    </row>
    <row r="20" spans="1:13" s="474" customFormat="1" ht="36.75" customHeight="1">
      <c r="A20" s="498">
        <v>5</v>
      </c>
      <c r="B20" s="529" t="s">
        <v>186</v>
      </c>
      <c r="C20" s="494">
        <v>431</v>
      </c>
      <c r="D20" s="494">
        <v>431</v>
      </c>
      <c r="E20" s="495" t="s">
        <v>180</v>
      </c>
      <c r="F20" s="495" t="s">
        <v>203</v>
      </c>
      <c r="G20" s="494">
        <v>171000</v>
      </c>
      <c r="H20" s="494">
        <v>154000</v>
      </c>
      <c r="I20" s="494">
        <v>0</v>
      </c>
      <c r="J20" s="494">
        <f t="shared" si="0"/>
        <v>154000</v>
      </c>
      <c r="K20" s="457">
        <v>0</v>
      </c>
      <c r="L20" s="457">
        <v>154000</v>
      </c>
      <c r="M20" s="494">
        <v>0</v>
      </c>
    </row>
    <row r="21" spans="1:15" ht="39" customHeight="1">
      <c r="A21" s="498">
        <v>6</v>
      </c>
      <c r="B21" s="529" t="s">
        <v>187</v>
      </c>
      <c r="C21" s="494">
        <v>1036</v>
      </c>
      <c r="D21" s="494">
        <v>1036</v>
      </c>
      <c r="E21" s="495" t="s">
        <v>202</v>
      </c>
      <c r="F21" s="495" t="s">
        <v>204</v>
      </c>
      <c r="G21" s="494">
        <v>176312</v>
      </c>
      <c r="H21" s="494">
        <v>153920</v>
      </c>
      <c r="I21" s="494">
        <v>0</v>
      </c>
      <c r="J21" s="494">
        <f t="shared" si="0"/>
        <v>153920</v>
      </c>
      <c r="K21" s="457">
        <v>0</v>
      </c>
      <c r="L21" s="457">
        <v>153920</v>
      </c>
      <c r="M21" s="494">
        <v>0</v>
      </c>
      <c r="N21" s="531"/>
      <c r="O21" s="532"/>
    </row>
    <row r="22" spans="1:45" s="428" customFormat="1" ht="34.5" customHeight="1">
      <c r="A22" s="498">
        <v>7</v>
      </c>
      <c r="B22" s="529" t="s">
        <v>188</v>
      </c>
      <c r="C22" s="494">
        <v>636.6</v>
      </c>
      <c r="D22" s="494">
        <v>636.6</v>
      </c>
      <c r="E22" s="495" t="s">
        <v>205</v>
      </c>
      <c r="F22" s="495" t="s">
        <v>206</v>
      </c>
      <c r="G22" s="494">
        <v>159810</v>
      </c>
      <c r="H22" s="494">
        <v>66143</v>
      </c>
      <c r="I22" s="494">
        <v>0</v>
      </c>
      <c r="J22" s="494">
        <v>66143</v>
      </c>
      <c r="K22" s="457">
        <v>0</v>
      </c>
      <c r="L22" s="457">
        <v>66143</v>
      </c>
      <c r="M22" s="494">
        <v>0</v>
      </c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</row>
    <row r="23" spans="1:19" s="430" customFormat="1" ht="37.5" customHeight="1">
      <c r="A23" s="498">
        <v>8</v>
      </c>
      <c r="B23" s="533" t="s">
        <v>216</v>
      </c>
      <c r="C23" s="494">
        <v>225</v>
      </c>
      <c r="D23" s="494">
        <v>225</v>
      </c>
      <c r="E23" s="495" t="s">
        <v>203</v>
      </c>
      <c r="F23" s="495" t="s">
        <v>202</v>
      </c>
      <c r="G23" s="494">
        <v>106576</v>
      </c>
      <c r="H23" s="494">
        <v>100000</v>
      </c>
      <c r="I23" s="494">
        <v>0</v>
      </c>
      <c r="J23" s="494">
        <f t="shared" si="0"/>
        <v>100000</v>
      </c>
      <c r="K23" s="457">
        <v>0</v>
      </c>
      <c r="L23" s="494">
        <v>0</v>
      </c>
      <c r="M23" s="494">
        <v>100000</v>
      </c>
      <c r="N23" s="429"/>
      <c r="O23" s="429"/>
      <c r="P23" s="429"/>
      <c r="Q23" s="429"/>
      <c r="R23" s="429"/>
      <c r="S23" s="429"/>
    </row>
    <row r="24" spans="1:19" s="430" customFormat="1" ht="37.5" customHeight="1">
      <c r="A24" s="498">
        <v>9</v>
      </c>
      <c r="B24" s="533" t="s">
        <v>218</v>
      </c>
      <c r="C24" s="494">
        <v>730</v>
      </c>
      <c r="D24" s="494">
        <v>730</v>
      </c>
      <c r="E24" s="495" t="s">
        <v>205</v>
      </c>
      <c r="F24" s="495" t="s">
        <v>219</v>
      </c>
      <c r="G24" s="494">
        <v>160000</v>
      </c>
      <c r="H24" s="494">
        <v>100</v>
      </c>
      <c r="I24" s="494">
        <v>0</v>
      </c>
      <c r="J24" s="494">
        <v>100</v>
      </c>
      <c r="K24" s="457">
        <v>0</v>
      </c>
      <c r="L24" s="494">
        <v>100</v>
      </c>
      <c r="M24" s="494">
        <v>0</v>
      </c>
      <c r="N24" s="429"/>
      <c r="O24" s="429"/>
      <c r="P24" s="429"/>
      <c r="Q24" s="429"/>
      <c r="R24" s="429"/>
      <c r="S24" s="429"/>
    </row>
    <row r="25" spans="1:19" s="430" customFormat="1" ht="37.5" customHeight="1">
      <c r="A25" s="498">
        <v>10</v>
      </c>
      <c r="B25" s="533" t="s">
        <v>220</v>
      </c>
      <c r="C25" s="494">
        <v>622</v>
      </c>
      <c r="D25" s="494">
        <v>622</v>
      </c>
      <c r="E25" s="495" t="s">
        <v>205</v>
      </c>
      <c r="F25" s="495" t="s">
        <v>219</v>
      </c>
      <c r="G25" s="494">
        <v>150000</v>
      </c>
      <c r="H25" s="494">
        <v>100</v>
      </c>
      <c r="I25" s="494">
        <v>0</v>
      </c>
      <c r="J25" s="494">
        <v>100</v>
      </c>
      <c r="K25" s="457">
        <v>0</v>
      </c>
      <c r="L25" s="494">
        <v>100</v>
      </c>
      <c r="M25" s="494">
        <v>0</v>
      </c>
      <c r="N25" s="429"/>
      <c r="O25" s="429"/>
      <c r="P25" s="429"/>
      <c r="Q25" s="429"/>
      <c r="R25" s="429"/>
      <c r="S25" s="429"/>
    </row>
    <row r="26" spans="1:19" s="430" customFormat="1" ht="37.5" customHeight="1">
      <c r="A26" s="498">
        <v>11</v>
      </c>
      <c r="B26" s="533" t="s">
        <v>168</v>
      </c>
      <c r="C26" s="494">
        <v>554</v>
      </c>
      <c r="D26" s="494">
        <v>554</v>
      </c>
      <c r="E26" s="495" t="s">
        <v>223</v>
      </c>
      <c r="F26" s="495" t="s">
        <v>207</v>
      </c>
      <c r="G26" s="494">
        <v>160000</v>
      </c>
      <c r="H26" s="494">
        <v>130941</v>
      </c>
      <c r="I26" s="494">
        <v>120912.09</v>
      </c>
      <c r="J26" s="494">
        <v>8734.12</v>
      </c>
      <c r="K26" s="457">
        <v>0</v>
      </c>
      <c r="L26" s="494">
        <v>0</v>
      </c>
      <c r="M26" s="494">
        <v>8734.12</v>
      </c>
      <c r="N26" s="429"/>
      <c r="O26" s="429"/>
      <c r="P26" s="429"/>
      <c r="Q26" s="429"/>
      <c r="R26" s="429"/>
      <c r="S26" s="429"/>
    </row>
    <row r="27" spans="1:19" s="430" customFormat="1" ht="37.5" customHeight="1">
      <c r="A27" s="498">
        <v>12</v>
      </c>
      <c r="B27" s="533" t="s">
        <v>222</v>
      </c>
      <c r="C27" s="494">
        <v>329</v>
      </c>
      <c r="D27" s="494">
        <v>329</v>
      </c>
      <c r="E27" s="495" t="s">
        <v>205</v>
      </c>
      <c r="F27" s="495" t="s">
        <v>219</v>
      </c>
      <c r="G27" s="494">
        <v>130000</v>
      </c>
      <c r="H27" s="494">
        <v>100</v>
      </c>
      <c r="I27" s="494">
        <v>0</v>
      </c>
      <c r="J27" s="494">
        <v>100</v>
      </c>
      <c r="K27" s="457">
        <v>0</v>
      </c>
      <c r="L27" s="494">
        <v>100</v>
      </c>
      <c r="M27" s="494">
        <v>0</v>
      </c>
      <c r="N27" s="429"/>
      <c r="O27" s="429"/>
      <c r="P27" s="429"/>
      <c r="Q27" s="429"/>
      <c r="R27" s="429"/>
      <c r="S27" s="429"/>
    </row>
    <row r="28" spans="1:37" s="430" customFormat="1" ht="34.5" customHeight="1">
      <c r="A28" s="498">
        <v>13</v>
      </c>
      <c r="B28" s="533" t="s">
        <v>167</v>
      </c>
      <c r="C28" s="458">
        <v>810</v>
      </c>
      <c r="D28" s="458">
        <v>810</v>
      </c>
      <c r="E28" s="495" t="s">
        <v>160</v>
      </c>
      <c r="F28" s="495" t="s">
        <v>180</v>
      </c>
      <c r="G28" s="458">
        <v>719617</v>
      </c>
      <c r="H28" s="458">
        <v>709000</v>
      </c>
      <c r="I28" s="494">
        <v>0</v>
      </c>
      <c r="J28" s="494">
        <f t="shared" si="0"/>
        <v>709000</v>
      </c>
      <c r="K28" s="457">
        <v>0</v>
      </c>
      <c r="L28" s="458">
        <v>709000</v>
      </c>
      <c r="M28" s="458">
        <v>0</v>
      </c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</row>
    <row r="29" spans="1:37" s="430" customFormat="1" ht="40.5" customHeight="1">
      <c r="A29" s="498">
        <v>14</v>
      </c>
      <c r="B29" s="533" t="s">
        <v>190</v>
      </c>
      <c r="C29" s="458">
        <v>593</v>
      </c>
      <c r="D29" s="458">
        <v>593</v>
      </c>
      <c r="E29" s="565" t="s">
        <v>205</v>
      </c>
      <c r="F29" s="565" t="s">
        <v>206</v>
      </c>
      <c r="G29" s="458">
        <v>120000</v>
      </c>
      <c r="H29" s="458">
        <v>115992.67</v>
      </c>
      <c r="I29" s="494">
        <v>0</v>
      </c>
      <c r="J29" s="494">
        <f t="shared" si="0"/>
        <v>115992.67</v>
      </c>
      <c r="K29" s="457">
        <v>0</v>
      </c>
      <c r="L29" s="458">
        <v>0</v>
      </c>
      <c r="M29" s="458">
        <f>110000+5992.67</f>
        <v>115992.67</v>
      </c>
      <c r="N29" s="429">
        <v>0</v>
      </c>
      <c r="O29" s="429" t="s">
        <v>39</v>
      </c>
      <c r="P29" s="429">
        <v>112000</v>
      </c>
      <c r="Q29" s="429">
        <v>0</v>
      </c>
      <c r="R29" s="429">
        <v>0</v>
      </c>
      <c r="S29" s="429">
        <v>112000</v>
      </c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</row>
    <row r="30" spans="1:37" s="430" customFormat="1" ht="34.5" customHeight="1">
      <c r="A30" s="585" t="s">
        <v>146</v>
      </c>
      <c r="B30" s="585"/>
      <c r="C30" s="572">
        <f>SUM(C16:C29)</f>
        <v>10426.6</v>
      </c>
      <c r="D30" s="572">
        <f>SUM(D16:D29)</f>
        <v>10426.6</v>
      </c>
      <c r="E30" s="572" t="s">
        <v>134</v>
      </c>
      <c r="F30" s="572" t="s">
        <v>134</v>
      </c>
      <c r="G30" s="572">
        <f aca="true" t="shared" si="1" ref="G30:M30">SUM(G16:G29)</f>
        <v>2671568</v>
      </c>
      <c r="H30" s="572">
        <f t="shared" si="1"/>
        <v>2228536.67</v>
      </c>
      <c r="I30" s="572">
        <f t="shared" si="1"/>
        <v>120912.09</v>
      </c>
      <c r="J30" s="572">
        <f t="shared" si="1"/>
        <v>2106329.79</v>
      </c>
      <c r="K30" s="572">
        <f t="shared" si="1"/>
        <v>0</v>
      </c>
      <c r="L30" s="572">
        <f t="shared" si="1"/>
        <v>1303363</v>
      </c>
      <c r="M30" s="572">
        <f t="shared" si="1"/>
        <v>802966.79</v>
      </c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</row>
    <row r="31" spans="1:37" s="430" customFormat="1" ht="37.5" customHeight="1">
      <c r="A31" s="597" t="s">
        <v>139</v>
      </c>
      <c r="B31" s="597"/>
      <c r="C31" s="597"/>
      <c r="D31" s="597"/>
      <c r="E31" s="597"/>
      <c r="F31" s="597"/>
      <c r="G31" s="597"/>
      <c r="H31" s="597"/>
      <c r="I31" s="597"/>
      <c r="J31" s="597"/>
      <c r="K31" s="597"/>
      <c r="L31" s="597"/>
      <c r="M31" s="597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</row>
    <row r="32" spans="1:37" s="430" customFormat="1" ht="37.5" customHeight="1">
      <c r="A32" s="12">
        <v>1</v>
      </c>
      <c r="B32" s="578" t="s">
        <v>167</v>
      </c>
      <c r="C32" s="12">
        <v>810</v>
      </c>
      <c r="D32" s="12" t="s">
        <v>134</v>
      </c>
      <c r="E32" s="574" t="s">
        <v>177</v>
      </c>
      <c r="F32" s="574" t="s">
        <v>207</v>
      </c>
      <c r="G32" s="501">
        <v>63461</v>
      </c>
      <c r="H32" s="501">
        <v>51089</v>
      </c>
      <c r="I32" s="501">
        <v>0</v>
      </c>
      <c r="J32" s="501">
        <v>51089</v>
      </c>
      <c r="K32" s="501">
        <v>0</v>
      </c>
      <c r="L32" s="501">
        <v>51089</v>
      </c>
      <c r="M32" s="501">
        <v>0</v>
      </c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</row>
    <row r="33" spans="1:37" s="430" customFormat="1" ht="37.5" customHeight="1">
      <c r="A33" s="12">
        <v>2</v>
      </c>
      <c r="B33" s="533" t="s">
        <v>212</v>
      </c>
      <c r="C33" s="501">
        <v>565</v>
      </c>
      <c r="D33" s="501" t="s">
        <v>134</v>
      </c>
      <c r="E33" s="574" t="s">
        <v>159</v>
      </c>
      <c r="F33" s="574" t="s">
        <v>203</v>
      </c>
      <c r="G33" s="501">
        <v>164058</v>
      </c>
      <c r="H33" s="501">
        <v>129102.68</v>
      </c>
      <c r="I33" s="501">
        <v>128232.48</v>
      </c>
      <c r="J33" s="501">
        <f aca="true" t="shared" si="2" ref="J33">SUM(K33:M33)</f>
        <v>870.1999999999971</v>
      </c>
      <c r="K33" s="501">
        <v>0</v>
      </c>
      <c r="L33" s="501">
        <v>0</v>
      </c>
      <c r="M33" s="501">
        <f>H33-I33</f>
        <v>870.1999999999971</v>
      </c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</row>
    <row r="34" spans="1:37" s="430" customFormat="1" ht="35.25" customHeight="1">
      <c r="A34" s="585" t="s">
        <v>148</v>
      </c>
      <c r="B34" s="585"/>
      <c r="C34" s="573">
        <f>C33</f>
        <v>565</v>
      </c>
      <c r="D34" s="573" t="s">
        <v>134</v>
      </c>
      <c r="E34" s="573" t="s">
        <v>134</v>
      </c>
      <c r="F34" s="573" t="s">
        <v>134</v>
      </c>
      <c r="G34" s="573">
        <f aca="true" t="shared" si="3" ref="G34:M34">SUM(G32:G33)</f>
        <v>227519</v>
      </c>
      <c r="H34" s="575">
        <f t="shared" si="3"/>
        <v>180191.68</v>
      </c>
      <c r="I34" s="575">
        <f t="shared" si="3"/>
        <v>128232.48</v>
      </c>
      <c r="J34" s="575">
        <f t="shared" si="3"/>
        <v>51959.2</v>
      </c>
      <c r="K34" s="575">
        <f t="shared" si="3"/>
        <v>0</v>
      </c>
      <c r="L34" s="575">
        <f t="shared" si="3"/>
        <v>51089</v>
      </c>
      <c r="M34" s="575">
        <f t="shared" si="3"/>
        <v>870.1999999999971</v>
      </c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</row>
    <row r="35" spans="1:37" s="430" customFormat="1" ht="32.25" customHeight="1">
      <c r="A35" s="685" t="s">
        <v>51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7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</row>
    <row r="36" spans="1:37" s="430" customFormat="1" ht="32.25" customHeight="1">
      <c r="A36" s="498">
        <v>1</v>
      </c>
      <c r="B36" s="424" t="s">
        <v>191</v>
      </c>
      <c r="C36" s="500">
        <v>707.98</v>
      </c>
      <c r="D36" s="500" t="s">
        <v>134</v>
      </c>
      <c r="E36" s="535" t="s">
        <v>207</v>
      </c>
      <c r="F36" s="495" t="s">
        <v>180</v>
      </c>
      <c r="G36" s="498" t="s">
        <v>134</v>
      </c>
      <c r="H36" s="494" t="s">
        <v>134</v>
      </c>
      <c r="I36" s="494">
        <v>0</v>
      </c>
      <c r="J36" s="494">
        <f aca="true" t="shared" si="4" ref="J36:J49">SUM(K36:M36)</f>
        <v>11000</v>
      </c>
      <c r="K36" s="494">
        <v>0</v>
      </c>
      <c r="L36" s="494">
        <v>11000</v>
      </c>
      <c r="M36" s="494">
        <v>0</v>
      </c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</row>
    <row r="37" spans="1:37" s="430" customFormat="1" ht="32.25" customHeight="1">
      <c r="A37" s="498">
        <v>2</v>
      </c>
      <c r="B37" s="424" t="s">
        <v>192</v>
      </c>
      <c r="C37" s="500">
        <v>917</v>
      </c>
      <c r="D37" s="500" t="s">
        <v>134</v>
      </c>
      <c r="E37" s="535" t="s">
        <v>207</v>
      </c>
      <c r="F37" s="495" t="s">
        <v>180</v>
      </c>
      <c r="G37" s="498" t="s">
        <v>134</v>
      </c>
      <c r="H37" s="494" t="s">
        <v>134</v>
      </c>
      <c r="I37" s="494">
        <v>0</v>
      </c>
      <c r="J37" s="494">
        <f t="shared" si="4"/>
        <v>11500</v>
      </c>
      <c r="K37" s="494">
        <v>0</v>
      </c>
      <c r="L37" s="494">
        <v>11500</v>
      </c>
      <c r="M37" s="494">
        <v>0</v>
      </c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</row>
    <row r="38" spans="1:37" s="430" customFormat="1" ht="37.5" customHeight="1">
      <c r="A38" s="498">
        <v>3</v>
      </c>
      <c r="B38" s="529" t="s">
        <v>193</v>
      </c>
      <c r="C38" s="500">
        <v>1423</v>
      </c>
      <c r="D38" s="500" t="s">
        <v>134</v>
      </c>
      <c r="E38" s="535" t="s">
        <v>207</v>
      </c>
      <c r="F38" s="495" t="s">
        <v>180</v>
      </c>
      <c r="G38" s="498" t="s">
        <v>134</v>
      </c>
      <c r="H38" s="494" t="s">
        <v>134</v>
      </c>
      <c r="I38" s="494">
        <v>0</v>
      </c>
      <c r="J38" s="494">
        <f t="shared" si="4"/>
        <v>12400</v>
      </c>
      <c r="K38" s="494">
        <v>0</v>
      </c>
      <c r="L38" s="494">
        <v>12400</v>
      </c>
      <c r="M38" s="494">
        <v>0</v>
      </c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</row>
    <row r="39" spans="1:37" s="430" customFormat="1" ht="37.5" customHeight="1">
      <c r="A39" s="498">
        <v>4</v>
      </c>
      <c r="B39" s="424" t="s">
        <v>194</v>
      </c>
      <c r="C39" s="500">
        <v>719</v>
      </c>
      <c r="D39" s="500" t="s">
        <v>134</v>
      </c>
      <c r="E39" s="535" t="s">
        <v>207</v>
      </c>
      <c r="F39" s="495" t="s">
        <v>180</v>
      </c>
      <c r="G39" s="498" t="s">
        <v>134</v>
      </c>
      <c r="H39" s="494" t="s">
        <v>134</v>
      </c>
      <c r="I39" s="494">
        <v>0</v>
      </c>
      <c r="J39" s="494">
        <f t="shared" si="4"/>
        <v>12500</v>
      </c>
      <c r="K39" s="494">
        <v>0</v>
      </c>
      <c r="L39" s="494">
        <v>0</v>
      </c>
      <c r="M39" s="494">
        <v>12500</v>
      </c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</row>
    <row r="40" spans="1:37" s="430" customFormat="1" ht="33" customHeight="1">
      <c r="A40" s="498">
        <v>5</v>
      </c>
      <c r="B40" s="424" t="s">
        <v>215</v>
      </c>
      <c r="C40" s="500">
        <v>711</v>
      </c>
      <c r="D40" s="500" t="s">
        <v>134</v>
      </c>
      <c r="E40" s="495" t="s">
        <v>180</v>
      </c>
      <c r="F40" s="535" t="s">
        <v>203</v>
      </c>
      <c r="G40" s="494" t="s">
        <v>134</v>
      </c>
      <c r="H40" s="494" t="s">
        <v>134</v>
      </c>
      <c r="I40" s="494">
        <v>0</v>
      </c>
      <c r="J40" s="494">
        <f t="shared" si="4"/>
        <v>8348</v>
      </c>
      <c r="K40" s="494">
        <v>0</v>
      </c>
      <c r="L40" s="494">
        <v>8348</v>
      </c>
      <c r="M40" s="494">
        <v>0</v>
      </c>
      <c r="N40" s="521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</row>
    <row r="41" spans="1:13" ht="36" customHeight="1">
      <c r="A41" s="498">
        <v>6</v>
      </c>
      <c r="B41" s="424" t="s">
        <v>195</v>
      </c>
      <c r="C41" s="500">
        <v>934</v>
      </c>
      <c r="D41" s="500" t="s">
        <v>134</v>
      </c>
      <c r="E41" s="495" t="s">
        <v>180</v>
      </c>
      <c r="F41" s="495" t="s">
        <v>203</v>
      </c>
      <c r="G41" s="494" t="s">
        <v>134</v>
      </c>
      <c r="H41" s="494" t="s">
        <v>134</v>
      </c>
      <c r="I41" s="494">
        <v>0</v>
      </c>
      <c r="J41" s="494">
        <f t="shared" si="4"/>
        <v>12000</v>
      </c>
      <c r="K41" s="494">
        <v>0</v>
      </c>
      <c r="L41" s="494">
        <v>0</v>
      </c>
      <c r="M41" s="494">
        <v>12000</v>
      </c>
    </row>
    <row r="42" spans="1:54" s="522" customFormat="1" ht="36.75" customHeight="1">
      <c r="A42" s="498">
        <v>7</v>
      </c>
      <c r="B42" s="424" t="s">
        <v>196</v>
      </c>
      <c r="C42" s="500">
        <v>734</v>
      </c>
      <c r="D42" s="500" t="s">
        <v>134</v>
      </c>
      <c r="E42" s="495" t="s">
        <v>180</v>
      </c>
      <c r="F42" s="495" t="s">
        <v>203</v>
      </c>
      <c r="G42" s="498" t="s">
        <v>134</v>
      </c>
      <c r="H42" s="494" t="s">
        <v>134</v>
      </c>
      <c r="I42" s="494">
        <v>0</v>
      </c>
      <c r="J42" s="494">
        <f t="shared" si="4"/>
        <v>11202.33</v>
      </c>
      <c r="K42" s="494">
        <v>0</v>
      </c>
      <c r="L42" s="494">
        <v>0</v>
      </c>
      <c r="M42" s="494">
        <v>11202.33</v>
      </c>
      <c r="N42" s="521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1"/>
      <c r="AH42" s="521"/>
      <c r="AI42" s="521"/>
      <c r="AJ42" s="521"/>
      <c r="AK42" s="521"/>
      <c r="AL42" s="521"/>
      <c r="AM42" s="521"/>
      <c r="AN42" s="521"/>
      <c r="AO42" s="521"/>
      <c r="AP42" s="521"/>
      <c r="AQ42" s="521"/>
      <c r="AR42" s="521"/>
      <c r="AS42" s="521"/>
      <c r="AT42" s="521"/>
      <c r="AU42" s="521"/>
      <c r="AV42" s="521"/>
      <c r="AW42" s="521"/>
      <c r="AX42" s="521"/>
      <c r="AY42" s="521"/>
      <c r="AZ42" s="521"/>
      <c r="BA42" s="521"/>
      <c r="BB42" s="521"/>
    </row>
    <row r="43" spans="1:13" ht="36.75" customHeight="1">
      <c r="A43" s="498">
        <v>8</v>
      </c>
      <c r="B43" s="533" t="s">
        <v>189</v>
      </c>
      <c r="C43" s="534">
        <v>329</v>
      </c>
      <c r="D43" s="500" t="s">
        <v>134</v>
      </c>
      <c r="E43" s="535" t="s">
        <v>207</v>
      </c>
      <c r="F43" s="495" t="s">
        <v>180</v>
      </c>
      <c r="G43" s="494" t="s">
        <v>134</v>
      </c>
      <c r="H43" s="494" t="s">
        <v>134</v>
      </c>
      <c r="I43" s="494">
        <v>0</v>
      </c>
      <c r="J43" s="494">
        <f t="shared" si="4"/>
        <v>10250</v>
      </c>
      <c r="K43" s="494">
        <v>0</v>
      </c>
      <c r="L43" s="494">
        <v>0</v>
      </c>
      <c r="M43" s="494">
        <v>10250</v>
      </c>
    </row>
    <row r="44" spans="1:13" ht="39" customHeight="1">
      <c r="A44" s="498">
        <v>9</v>
      </c>
      <c r="B44" s="533" t="s">
        <v>218</v>
      </c>
      <c r="C44" s="534">
        <v>730</v>
      </c>
      <c r="D44" s="500" t="s">
        <v>134</v>
      </c>
      <c r="E44" s="535" t="s">
        <v>207</v>
      </c>
      <c r="F44" s="495" t="s">
        <v>201</v>
      </c>
      <c r="G44" s="494" t="s">
        <v>134</v>
      </c>
      <c r="H44" s="494" t="s">
        <v>134</v>
      </c>
      <c r="I44" s="494">
        <v>0</v>
      </c>
      <c r="J44" s="494">
        <v>14000</v>
      </c>
      <c r="K44" s="494">
        <v>0</v>
      </c>
      <c r="L44" s="494">
        <v>14000</v>
      </c>
      <c r="M44" s="494">
        <v>0</v>
      </c>
    </row>
    <row r="45" spans="1:13" ht="39" customHeight="1">
      <c r="A45" s="498">
        <v>10</v>
      </c>
      <c r="B45" s="533" t="s">
        <v>220</v>
      </c>
      <c r="C45" s="534">
        <v>622</v>
      </c>
      <c r="D45" s="500" t="s">
        <v>134</v>
      </c>
      <c r="E45" s="535" t="s">
        <v>207</v>
      </c>
      <c r="F45" s="495" t="s">
        <v>201</v>
      </c>
      <c r="G45" s="494" t="s">
        <v>134</v>
      </c>
      <c r="H45" s="494" t="s">
        <v>134</v>
      </c>
      <c r="I45" s="494">
        <v>0</v>
      </c>
      <c r="J45" s="494">
        <v>13000</v>
      </c>
      <c r="K45" s="494">
        <v>0</v>
      </c>
      <c r="L45" s="494">
        <v>13000</v>
      </c>
      <c r="M45" s="494">
        <v>0</v>
      </c>
    </row>
    <row r="46" spans="1:13" ht="39" customHeight="1">
      <c r="A46" s="498">
        <v>11</v>
      </c>
      <c r="B46" s="533" t="s">
        <v>221</v>
      </c>
      <c r="C46" s="534">
        <v>339</v>
      </c>
      <c r="D46" s="500" t="s">
        <v>134</v>
      </c>
      <c r="E46" s="535" t="s">
        <v>207</v>
      </c>
      <c r="F46" s="495" t="s">
        <v>201</v>
      </c>
      <c r="G46" s="494" t="s">
        <v>134</v>
      </c>
      <c r="H46" s="494" t="s">
        <v>134</v>
      </c>
      <c r="I46" s="494">
        <v>0</v>
      </c>
      <c r="J46" s="494">
        <v>9500</v>
      </c>
      <c r="K46" s="494">
        <v>0</v>
      </c>
      <c r="L46" s="494">
        <v>9500</v>
      </c>
      <c r="M46" s="494">
        <v>0</v>
      </c>
    </row>
    <row r="47" spans="1:13" ht="39" customHeight="1">
      <c r="A47" s="498">
        <v>12</v>
      </c>
      <c r="B47" s="533" t="s">
        <v>190</v>
      </c>
      <c r="C47" s="534">
        <v>593</v>
      </c>
      <c r="D47" s="500" t="s">
        <v>134</v>
      </c>
      <c r="E47" s="535" t="s">
        <v>207</v>
      </c>
      <c r="F47" s="495" t="s">
        <v>180</v>
      </c>
      <c r="G47" s="494" t="s">
        <v>134</v>
      </c>
      <c r="H47" s="494" t="s">
        <v>134</v>
      </c>
      <c r="I47" s="494">
        <v>0</v>
      </c>
      <c r="J47" s="494">
        <f t="shared" si="4"/>
        <v>11000</v>
      </c>
      <c r="K47" s="494">
        <v>0</v>
      </c>
      <c r="L47" s="494">
        <v>0</v>
      </c>
      <c r="M47" s="494">
        <v>11000</v>
      </c>
    </row>
    <row r="48" spans="1:13" ht="34.5" customHeight="1">
      <c r="A48" s="498">
        <v>13</v>
      </c>
      <c r="B48" s="533" t="s">
        <v>209</v>
      </c>
      <c r="C48" s="534">
        <v>264</v>
      </c>
      <c r="D48" s="500" t="s">
        <v>134</v>
      </c>
      <c r="E48" s="535" t="s">
        <v>207</v>
      </c>
      <c r="F48" s="495" t="s">
        <v>180</v>
      </c>
      <c r="G48" s="494" t="s">
        <v>134</v>
      </c>
      <c r="H48" s="494" t="s">
        <v>134</v>
      </c>
      <c r="I48" s="494">
        <v>0</v>
      </c>
      <c r="J48" s="494">
        <f t="shared" si="4"/>
        <v>9000</v>
      </c>
      <c r="K48" s="494">
        <v>0</v>
      </c>
      <c r="L48" s="494">
        <v>0</v>
      </c>
      <c r="M48" s="494">
        <v>9000</v>
      </c>
    </row>
    <row r="49" spans="1:13" ht="40.5" customHeight="1">
      <c r="A49" s="498">
        <v>14</v>
      </c>
      <c r="B49" s="533" t="s">
        <v>213</v>
      </c>
      <c r="C49" s="534">
        <v>350</v>
      </c>
      <c r="D49" s="500" t="s">
        <v>134</v>
      </c>
      <c r="E49" s="495" t="s">
        <v>180</v>
      </c>
      <c r="F49" s="535" t="s">
        <v>203</v>
      </c>
      <c r="G49" s="494" t="s">
        <v>134</v>
      </c>
      <c r="H49" s="494" t="s">
        <v>134</v>
      </c>
      <c r="I49" s="494">
        <v>0</v>
      </c>
      <c r="J49" s="494">
        <f t="shared" si="4"/>
        <v>10000</v>
      </c>
      <c r="K49" s="494">
        <v>0</v>
      </c>
      <c r="L49" s="494">
        <v>0</v>
      </c>
      <c r="M49" s="494">
        <v>10000</v>
      </c>
    </row>
    <row r="50" spans="1:13" ht="40.5" customHeight="1">
      <c r="A50" s="590" t="s">
        <v>149</v>
      </c>
      <c r="B50" s="591"/>
      <c r="C50" s="464">
        <f>SUM(C36:C49)</f>
        <v>9372.98</v>
      </c>
      <c r="D50" s="18" t="s">
        <v>134</v>
      </c>
      <c r="E50" s="566" t="s">
        <v>134</v>
      </c>
      <c r="F50" s="566" t="s">
        <v>134</v>
      </c>
      <c r="G50" s="566" t="s">
        <v>134</v>
      </c>
      <c r="H50" s="566" t="s">
        <v>134</v>
      </c>
      <c r="I50" s="575">
        <f>SUM(I36:I49)</f>
        <v>0</v>
      </c>
      <c r="J50" s="572">
        <v>157998</v>
      </c>
      <c r="K50" s="575">
        <f>SUM(K36:K49)</f>
        <v>0</v>
      </c>
      <c r="L50" s="575">
        <f>SUM(L36:L49)</f>
        <v>79748</v>
      </c>
      <c r="M50" s="575">
        <v>75952.33</v>
      </c>
    </row>
    <row r="51" spans="1:13" ht="40.5" customHeight="1">
      <c r="A51" s="685" t="s">
        <v>29</v>
      </c>
      <c r="B51" s="686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7"/>
    </row>
    <row r="52" spans="1:13" ht="40.5" customHeight="1">
      <c r="A52" s="498">
        <v>1</v>
      </c>
      <c r="B52" s="424" t="s">
        <v>211</v>
      </c>
      <c r="C52" s="501" t="s">
        <v>134</v>
      </c>
      <c r="D52" s="501" t="s">
        <v>134</v>
      </c>
      <c r="E52" s="501" t="s">
        <v>134</v>
      </c>
      <c r="F52" s="501" t="s">
        <v>134</v>
      </c>
      <c r="G52" s="501" t="s">
        <v>134</v>
      </c>
      <c r="H52" s="501" t="s">
        <v>134</v>
      </c>
      <c r="I52" s="501">
        <v>0</v>
      </c>
      <c r="J52" s="501">
        <f>SUM(K52:M52)</f>
        <v>2500</v>
      </c>
      <c r="K52" s="501">
        <v>0</v>
      </c>
      <c r="L52" s="501">
        <v>0</v>
      </c>
      <c r="M52" s="501">
        <v>2500</v>
      </c>
    </row>
    <row r="53" spans="1:13" ht="40.5" customHeight="1">
      <c r="A53" s="498">
        <v>2</v>
      </c>
      <c r="B53" s="424" t="s">
        <v>183</v>
      </c>
      <c r="C53" s="501" t="s">
        <v>134</v>
      </c>
      <c r="D53" s="501" t="s">
        <v>134</v>
      </c>
      <c r="E53" s="501" t="s">
        <v>134</v>
      </c>
      <c r="F53" s="501" t="s">
        <v>134</v>
      </c>
      <c r="G53" s="501" t="s">
        <v>134</v>
      </c>
      <c r="H53" s="501" t="s">
        <v>134</v>
      </c>
      <c r="I53" s="501">
        <v>0</v>
      </c>
      <c r="J53" s="501">
        <v>2500</v>
      </c>
      <c r="K53" s="501">
        <v>0</v>
      </c>
      <c r="L53" s="501">
        <v>0</v>
      </c>
      <c r="M53" s="501">
        <v>2500</v>
      </c>
    </row>
    <row r="54" spans="1:13" ht="40.5" customHeight="1">
      <c r="A54" s="498">
        <v>3</v>
      </c>
      <c r="B54" s="529" t="s">
        <v>184</v>
      </c>
      <c r="C54" s="501" t="s">
        <v>134</v>
      </c>
      <c r="D54" s="501" t="s">
        <v>134</v>
      </c>
      <c r="E54" s="501" t="s">
        <v>134</v>
      </c>
      <c r="F54" s="501" t="s">
        <v>134</v>
      </c>
      <c r="G54" s="501" t="s">
        <v>134</v>
      </c>
      <c r="H54" s="501" t="s">
        <v>134</v>
      </c>
      <c r="I54" s="501">
        <v>0</v>
      </c>
      <c r="J54" s="501">
        <v>100</v>
      </c>
      <c r="K54" s="501">
        <v>0</v>
      </c>
      <c r="L54" s="501">
        <v>100</v>
      </c>
      <c r="M54" s="501">
        <v>0</v>
      </c>
    </row>
    <row r="55" spans="1:13" ht="36.75" customHeight="1">
      <c r="A55" s="498">
        <v>4</v>
      </c>
      <c r="B55" s="529" t="s">
        <v>185</v>
      </c>
      <c r="C55" s="501" t="s">
        <v>134</v>
      </c>
      <c r="D55" s="501" t="s">
        <v>134</v>
      </c>
      <c r="E55" s="501" t="s">
        <v>134</v>
      </c>
      <c r="F55" s="501" t="s">
        <v>134</v>
      </c>
      <c r="G55" s="501" t="s">
        <v>134</v>
      </c>
      <c r="H55" s="501" t="s">
        <v>134</v>
      </c>
      <c r="I55" s="501">
        <v>0</v>
      </c>
      <c r="J55" s="501">
        <v>2100</v>
      </c>
      <c r="K55" s="501">
        <v>0</v>
      </c>
      <c r="L55" s="501">
        <v>0</v>
      </c>
      <c r="M55" s="501">
        <v>2100</v>
      </c>
    </row>
    <row r="56" spans="1:13" ht="39" customHeight="1">
      <c r="A56" s="498">
        <v>5</v>
      </c>
      <c r="B56" s="529" t="s">
        <v>186</v>
      </c>
      <c r="C56" s="501" t="s">
        <v>134</v>
      </c>
      <c r="D56" s="501" t="s">
        <v>134</v>
      </c>
      <c r="E56" s="501" t="s">
        <v>134</v>
      </c>
      <c r="F56" s="501" t="s">
        <v>134</v>
      </c>
      <c r="G56" s="501" t="s">
        <v>134</v>
      </c>
      <c r="H56" s="501" t="s">
        <v>134</v>
      </c>
      <c r="I56" s="501">
        <v>0</v>
      </c>
      <c r="J56" s="501">
        <v>100</v>
      </c>
      <c r="K56" s="501">
        <v>0</v>
      </c>
      <c r="L56" s="501">
        <v>100</v>
      </c>
      <c r="M56" s="501">
        <v>0</v>
      </c>
    </row>
    <row r="57" spans="1:13" ht="41.25" customHeight="1">
      <c r="A57" s="498">
        <v>6</v>
      </c>
      <c r="B57" s="529" t="s">
        <v>187</v>
      </c>
      <c r="C57" s="501" t="s">
        <v>134</v>
      </c>
      <c r="D57" s="501" t="s">
        <v>134</v>
      </c>
      <c r="E57" s="501" t="s">
        <v>134</v>
      </c>
      <c r="F57" s="501" t="s">
        <v>134</v>
      </c>
      <c r="G57" s="501" t="s">
        <v>134</v>
      </c>
      <c r="H57" s="501" t="s">
        <v>134</v>
      </c>
      <c r="I57" s="501">
        <v>0</v>
      </c>
      <c r="J57" s="501">
        <v>100</v>
      </c>
      <c r="K57" s="501">
        <v>0</v>
      </c>
      <c r="L57" s="501">
        <v>100</v>
      </c>
      <c r="M57" s="501">
        <v>0</v>
      </c>
    </row>
    <row r="58" spans="1:13" ht="41.25" customHeight="1">
      <c r="A58" s="498">
        <v>7</v>
      </c>
      <c r="B58" s="529" t="s">
        <v>218</v>
      </c>
      <c r="C58" s="501" t="s">
        <v>134</v>
      </c>
      <c r="D58" s="501" t="s">
        <v>134</v>
      </c>
      <c r="E58" s="501" t="s">
        <v>134</v>
      </c>
      <c r="F58" s="501" t="s">
        <v>134</v>
      </c>
      <c r="G58" s="501" t="s">
        <v>134</v>
      </c>
      <c r="H58" s="501" t="s">
        <v>134</v>
      </c>
      <c r="I58" s="501">
        <v>0</v>
      </c>
      <c r="J58" s="501">
        <v>100</v>
      </c>
      <c r="K58" s="501">
        <v>0</v>
      </c>
      <c r="L58" s="501">
        <v>100</v>
      </c>
      <c r="M58" s="501">
        <v>0</v>
      </c>
    </row>
    <row r="59" spans="1:13" ht="41.25" customHeight="1">
      <c r="A59" s="498">
        <v>8</v>
      </c>
      <c r="B59" s="529" t="s">
        <v>220</v>
      </c>
      <c r="C59" s="501" t="s">
        <v>134</v>
      </c>
      <c r="D59" s="501" t="s">
        <v>134</v>
      </c>
      <c r="E59" s="501" t="s">
        <v>134</v>
      </c>
      <c r="F59" s="501" t="s">
        <v>134</v>
      </c>
      <c r="G59" s="501" t="s">
        <v>134</v>
      </c>
      <c r="H59" s="501" t="s">
        <v>134</v>
      </c>
      <c r="I59" s="501">
        <v>0</v>
      </c>
      <c r="J59" s="501">
        <v>100</v>
      </c>
      <c r="K59" s="501">
        <v>0</v>
      </c>
      <c r="L59" s="501">
        <v>100</v>
      </c>
      <c r="M59" s="501">
        <v>0</v>
      </c>
    </row>
    <row r="60" spans="1:13" ht="41.25" customHeight="1">
      <c r="A60" s="498">
        <v>9</v>
      </c>
      <c r="B60" s="529" t="s">
        <v>222</v>
      </c>
      <c r="C60" s="501" t="s">
        <v>134</v>
      </c>
      <c r="D60" s="501" t="s">
        <v>134</v>
      </c>
      <c r="E60" s="501" t="s">
        <v>134</v>
      </c>
      <c r="F60" s="501" t="s">
        <v>134</v>
      </c>
      <c r="G60" s="501" t="s">
        <v>134</v>
      </c>
      <c r="H60" s="501" t="s">
        <v>134</v>
      </c>
      <c r="I60" s="501">
        <v>0</v>
      </c>
      <c r="J60" s="501">
        <v>100</v>
      </c>
      <c r="K60" s="501">
        <v>0</v>
      </c>
      <c r="L60" s="501">
        <v>100</v>
      </c>
      <c r="M60" s="501">
        <v>0</v>
      </c>
    </row>
    <row r="61" spans="1:13" ht="41.25" customHeight="1">
      <c r="A61" s="498">
        <v>10</v>
      </c>
      <c r="B61" s="529" t="s">
        <v>188</v>
      </c>
      <c r="C61" s="501" t="s">
        <v>134</v>
      </c>
      <c r="D61" s="501" t="s">
        <v>134</v>
      </c>
      <c r="E61" s="501" t="s">
        <v>134</v>
      </c>
      <c r="F61" s="501" t="s">
        <v>134</v>
      </c>
      <c r="G61" s="501" t="s">
        <v>134</v>
      </c>
      <c r="H61" s="501" t="s">
        <v>134</v>
      </c>
      <c r="I61" s="501">
        <v>0</v>
      </c>
      <c r="J61" s="501">
        <v>100</v>
      </c>
      <c r="K61" s="501">
        <v>0</v>
      </c>
      <c r="L61" s="501">
        <v>100</v>
      </c>
      <c r="M61" s="501">
        <v>0</v>
      </c>
    </row>
    <row r="62" spans="1:13" ht="41.25" customHeight="1">
      <c r="A62" s="498">
        <v>11</v>
      </c>
      <c r="B62" s="533" t="s">
        <v>217</v>
      </c>
      <c r="C62" s="501" t="s">
        <v>134</v>
      </c>
      <c r="D62" s="501" t="s">
        <v>134</v>
      </c>
      <c r="E62" s="501" t="s">
        <v>134</v>
      </c>
      <c r="F62" s="501" t="s">
        <v>134</v>
      </c>
      <c r="G62" s="501" t="s">
        <v>134</v>
      </c>
      <c r="H62" s="501" t="s">
        <v>134</v>
      </c>
      <c r="I62" s="501">
        <v>0</v>
      </c>
      <c r="J62" s="501">
        <v>2200</v>
      </c>
      <c r="K62" s="501">
        <v>0</v>
      </c>
      <c r="L62" s="501">
        <v>0</v>
      </c>
      <c r="M62" s="501">
        <v>2200</v>
      </c>
    </row>
    <row r="63" spans="1:13" ht="36" customHeight="1">
      <c r="A63" s="498">
        <v>12</v>
      </c>
      <c r="B63" s="533" t="s">
        <v>167</v>
      </c>
      <c r="C63" s="501" t="s">
        <v>134</v>
      </c>
      <c r="D63" s="501" t="s">
        <v>134</v>
      </c>
      <c r="E63" s="501" t="s">
        <v>134</v>
      </c>
      <c r="F63" s="501" t="s">
        <v>134</v>
      </c>
      <c r="G63" s="501" t="s">
        <v>134</v>
      </c>
      <c r="H63" s="501" t="s">
        <v>134</v>
      </c>
      <c r="I63" s="501">
        <v>0</v>
      </c>
      <c r="J63" s="501">
        <v>100</v>
      </c>
      <c r="K63" s="501">
        <v>0</v>
      </c>
      <c r="L63" s="501">
        <v>100</v>
      </c>
      <c r="M63" s="501">
        <v>0</v>
      </c>
    </row>
    <row r="64" spans="1:256" s="474" customFormat="1" ht="35.25" customHeight="1">
      <c r="A64" s="498">
        <v>13</v>
      </c>
      <c r="B64" s="533" t="s">
        <v>190</v>
      </c>
      <c r="C64" s="501" t="s">
        <v>134</v>
      </c>
      <c r="D64" s="501" t="s">
        <v>134</v>
      </c>
      <c r="E64" s="501" t="s">
        <v>134</v>
      </c>
      <c r="F64" s="501" t="s">
        <v>134</v>
      </c>
      <c r="G64" s="501" t="s">
        <v>134</v>
      </c>
      <c r="H64" s="501" t="s">
        <v>134</v>
      </c>
      <c r="I64" s="501">
        <v>0</v>
      </c>
      <c r="J64" s="501">
        <v>2200</v>
      </c>
      <c r="K64" s="501">
        <v>0</v>
      </c>
      <c r="L64" s="501">
        <v>0</v>
      </c>
      <c r="M64" s="501">
        <v>2200</v>
      </c>
      <c r="BC64" s="473"/>
      <c r="BD64" s="473"/>
      <c r="BE64" s="473"/>
      <c r="BF64" s="473"/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3"/>
      <c r="BT64" s="473"/>
      <c r="BU64" s="473"/>
      <c r="BV64" s="473"/>
      <c r="BW64" s="473"/>
      <c r="BX64" s="473"/>
      <c r="BY64" s="473"/>
      <c r="BZ64" s="473"/>
      <c r="CA64" s="473"/>
      <c r="CB64" s="473"/>
      <c r="CC64" s="473"/>
      <c r="CD64" s="473"/>
      <c r="CE64" s="473"/>
      <c r="CF64" s="473"/>
      <c r="CG64" s="473"/>
      <c r="CH64" s="473"/>
      <c r="CI64" s="473"/>
      <c r="CJ64" s="473"/>
      <c r="CK64" s="473"/>
      <c r="CL64" s="473"/>
      <c r="CM64" s="473"/>
      <c r="CN64" s="473"/>
      <c r="CO64" s="473"/>
      <c r="CP64" s="473"/>
      <c r="CQ64" s="473"/>
      <c r="CR64" s="473"/>
      <c r="CS64" s="473"/>
      <c r="CT64" s="473"/>
      <c r="CU64" s="473"/>
      <c r="CV64" s="473"/>
      <c r="CW64" s="473"/>
      <c r="CX64" s="473"/>
      <c r="CY64" s="473"/>
      <c r="CZ64" s="473"/>
      <c r="DA64" s="473"/>
      <c r="DB64" s="473"/>
      <c r="DC64" s="473"/>
      <c r="DD64" s="473"/>
      <c r="DE64" s="473"/>
      <c r="DF64" s="473"/>
      <c r="DG64" s="473"/>
      <c r="DH64" s="473"/>
      <c r="DI64" s="473"/>
      <c r="DJ64" s="473"/>
      <c r="DK64" s="473"/>
      <c r="DL64" s="473"/>
      <c r="DM64" s="473"/>
      <c r="DN64" s="473"/>
      <c r="DO64" s="473"/>
      <c r="DP64" s="473"/>
      <c r="DQ64" s="473"/>
      <c r="DR64" s="473"/>
      <c r="DS64" s="473"/>
      <c r="DT64" s="473"/>
      <c r="DU64" s="473"/>
      <c r="DV64" s="473"/>
      <c r="DW64" s="473"/>
      <c r="DX64" s="473"/>
      <c r="DY64" s="473"/>
      <c r="DZ64" s="473"/>
      <c r="EA64" s="473"/>
      <c r="EB64" s="473"/>
      <c r="EC64" s="473"/>
      <c r="ED64" s="473"/>
      <c r="EE64" s="473"/>
      <c r="EF64" s="473"/>
      <c r="EG64" s="473"/>
      <c r="EH64" s="473"/>
      <c r="EI64" s="473"/>
      <c r="EJ64" s="473"/>
      <c r="EK64" s="473"/>
      <c r="EL64" s="473"/>
      <c r="EM64" s="473"/>
      <c r="EN64" s="473"/>
      <c r="EO64" s="473"/>
      <c r="EP64" s="473"/>
      <c r="EQ64" s="473"/>
      <c r="ER64" s="473"/>
      <c r="ES64" s="473"/>
      <c r="ET64" s="473"/>
      <c r="EU64" s="473"/>
      <c r="EV64" s="473"/>
      <c r="EW64" s="473"/>
      <c r="EX64" s="473"/>
      <c r="EY64" s="473"/>
      <c r="EZ64" s="473"/>
      <c r="FA64" s="473"/>
      <c r="FB64" s="473"/>
      <c r="FC64" s="473"/>
      <c r="FD64" s="473"/>
      <c r="FE64" s="473"/>
      <c r="FF64" s="473"/>
      <c r="FG64" s="473"/>
      <c r="FH64" s="473"/>
      <c r="FI64" s="473"/>
      <c r="FJ64" s="473"/>
      <c r="FK64" s="473"/>
      <c r="FL64" s="473"/>
      <c r="FM64" s="473"/>
      <c r="FN64" s="473"/>
      <c r="FO64" s="473"/>
      <c r="FP64" s="473"/>
      <c r="FQ64" s="473"/>
      <c r="FR64" s="473"/>
      <c r="FS64" s="473"/>
      <c r="FT64" s="473"/>
      <c r="FU64" s="473"/>
      <c r="FV64" s="473"/>
      <c r="FW64" s="473"/>
      <c r="FX64" s="473"/>
      <c r="FY64" s="473"/>
      <c r="FZ64" s="473"/>
      <c r="GA64" s="473"/>
      <c r="GB64" s="473"/>
      <c r="GC64" s="473"/>
      <c r="GD64" s="473"/>
      <c r="GE64" s="473"/>
      <c r="GF64" s="473"/>
      <c r="GG64" s="473"/>
      <c r="GH64" s="473"/>
      <c r="GI64" s="473"/>
      <c r="GJ64" s="473"/>
      <c r="GK64" s="473"/>
      <c r="GL64" s="473"/>
      <c r="GM64" s="473"/>
      <c r="GN64" s="473"/>
      <c r="GO64" s="473"/>
      <c r="GP64" s="473"/>
      <c r="GQ64" s="473"/>
      <c r="GR64" s="473"/>
      <c r="GS64" s="473"/>
      <c r="GT64" s="473"/>
      <c r="GU64" s="473"/>
      <c r="GV64" s="473"/>
      <c r="GW64" s="473"/>
      <c r="GX64" s="473"/>
      <c r="GY64" s="473"/>
      <c r="GZ64" s="473"/>
      <c r="HA64" s="473"/>
      <c r="HB64" s="473"/>
      <c r="HC64" s="473"/>
      <c r="HD64" s="473"/>
      <c r="HE64" s="473"/>
      <c r="HF64" s="473"/>
      <c r="HG64" s="473"/>
      <c r="HH64" s="473"/>
      <c r="HI64" s="473"/>
      <c r="HJ64" s="473"/>
      <c r="HK64" s="473"/>
      <c r="HL64" s="473"/>
      <c r="HM64" s="473"/>
      <c r="HN64" s="473"/>
      <c r="HO64" s="473"/>
      <c r="HP64" s="473"/>
      <c r="HQ64" s="473"/>
      <c r="HR64" s="473"/>
      <c r="HS64" s="473"/>
      <c r="HT64" s="473"/>
      <c r="HU64" s="473"/>
      <c r="HV64" s="473"/>
      <c r="HW64" s="473"/>
      <c r="HX64" s="473"/>
      <c r="HY64" s="473"/>
      <c r="HZ64" s="473"/>
      <c r="IA64" s="473"/>
      <c r="IB64" s="473"/>
      <c r="IC64" s="473"/>
      <c r="ID64" s="473"/>
      <c r="IE64" s="473"/>
      <c r="IF64" s="473"/>
      <c r="IG64" s="473"/>
      <c r="IH64" s="473"/>
      <c r="II64" s="473"/>
      <c r="IJ64" s="473"/>
      <c r="IK64" s="473"/>
      <c r="IL64" s="473"/>
      <c r="IM64" s="473"/>
      <c r="IN64" s="473"/>
      <c r="IO64" s="473"/>
      <c r="IP64" s="473"/>
      <c r="IQ64" s="473"/>
      <c r="IR64" s="473"/>
      <c r="IS64" s="473"/>
      <c r="IT64" s="473"/>
      <c r="IU64" s="473"/>
      <c r="IV64" s="473"/>
    </row>
    <row r="65" spans="1:13" ht="51.75" customHeight="1">
      <c r="A65" s="585" t="s">
        <v>150</v>
      </c>
      <c r="B65" s="585"/>
      <c r="C65" s="18" t="s">
        <v>134</v>
      </c>
      <c r="D65" s="18" t="s">
        <v>134</v>
      </c>
      <c r="E65" s="566" t="s">
        <v>134</v>
      </c>
      <c r="F65" s="566" t="s">
        <v>134</v>
      </c>
      <c r="G65" s="566" t="s">
        <v>134</v>
      </c>
      <c r="H65" s="572" t="s">
        <v>134</v>
      </c>
      <c r="I65" s="572">
        <f>SUM(I52:I64)</f>
        <v>0</v>
      </c>
      <c r="J65" s="572">
        <f>SUM(J52:J64)</f>
        <v>12300</v>
      </c>
      <c r="K65" s="572">
        <f>SUM(K52:K64)</f>
        <v>0</v>
      </c>
      <c r="L65" s="572">
        <f>SUM(L52:L64)</f>
        <v>800</v>
      </c>
      <c r="M65" s="572">
        <f>SUM(M52:M64)</f>
        <v>11500</v>
      </c>
    </row>
    <row r="66" spans="1:13" ht="34.5" customHeight="1">
      <c r="A66" s="585" t="s">
        <v>197</v>
      </c>
      <c r="B66" s="585"/>
      <c r="C66" s="572" t="s">
        <v>134</v>
      </c>
      <c r="D66" s="572" t="s">
        <v>134</v>
      </c>
      <c r="E66" s="475" t="s">
        <v>134</v>
      </c>
      <c r="F66" s="572" t="s">
        <v>134</v>
      </c>
      <c r="G66" s="572" t="s">
        <v>134</v>
      </c>
      <c r="H66" s="572" t="s">
        <v>134</v>
      </c>
      <c r="I66" s="575">
        <v>273213.59</v>
      </c>
      <c r="J66" s="575">
        <f>J65+J50+J30+J34</f>
        <v>2328586.99</v>
      </c>
      <c r="K66" s="575">
        <f>K65+K50+K30+K34</f>
        <v>0</v>
      </c>
      <c r="L66" s="573">
        <f>L65+L50+L30+L34</f>
        <v>1435000</v>
      </c>
      <c r="M66" s="575">
        <f>M65+M50+M30+M34</f>
        <v>891289.32</v>
      </c>
    </row>
    <row r="67" spans="1:13" ht="34.5" customHeight="1">
      <c r="A67" s="586" t="s">
        <v>135</v>
      </c>
      <c r="B67" s="586"/>
      <c r="C67" s="498" t="s">
        <v>134</v>
      </c>
      <c r="D67" s="498" t="s">
        <v>134</v>
      </c>
      <c r="E67" s="495" t="s">
        <v>134</v>
      </c>
      <c r="F67" s="431" t="s">
        <v>134</v>
      </c>
      <c r="G67" s="431" t="s">
        <v>134</v>
      </c>
      <c r="H67" s="494" t="s">
        <v>134</v>
      </c>
      <c r="I67" s="426">
        <v>273213.59</v>
      </c>
      <c r="J67" s="476">
        <f aca="true" t="shared" si="5" ref="J67:J70">SUM(K67:M67)</f>
        <v>1435000</v>
      </c>
      <c r="K67" s="476">
        <v>0</v>
      </c>
      <c r="L67" s="476">
        <f>L65+L50+L30+L34</f>
        <v>1435000</v>
      </c>
      <c r="M67" s="476">
        <v>0</v>
      </c>
    </row>
    <row r="68" spans="1:13" ht="54" customHeight="1">
      <c r="A68" s="586" t="s">
        <v>136</v>
      </c>
      <c r="B68" s="586"/>
      <c r="C68" s="498" t="s">
        <v>134</v>
      </c>
      <c r="D68" s="498" t="s">
        <v>134</v>
      </c>
      <c r="E68" s="495" t="s">
        <v>134</v>
      </c>
      <c r="F68" s="431" t="s">
        <v>134</v>
      </c>
      <c r="G68" s="431" t="s">
        <v>134</v>
      </c>
      <c r="H68" s="494" t="s">
        <v>134</v>
      </c>
      <c r="I68" s="494" t="s">
        <v>134</v>
      </c>
      <c r="J68" s="476">
        <f t="shared" si="5"/>
        <v>891289.3200000001</v>
      </c>
      <c r="K68" s="458">
        <v>0</v>
      </c>
      <c r="L68" s="458">
        <v>0</v>
      </c>
      <c r="M68" s="476">
        <f>M69+M70</f>
        <v>891289.3200000001</v>
      </c>
    </row>
    <row r="69" spans="1:13" ht="34.5" customHeight="1">
      <c r="A69" s="583" t="s">
        <v>198</v>
      </c>
      <c r="B69" s="583"/>
      <c r="C69" s="498" t="s">
        <v>134</v>
      </c>
      <c r="D69" s="498" t="s">
        <v>134</v>
      </c>
      <c r="E69" s="495" t="s">
        <v>134</v>
      </c>
      <c r="F69" s="431" t="s">
        <v>134</v>
      </c>
      <c r="G69" s="431" t="s">
        <v>134</v>
      </c>
      <c r="H69" s="494" t="s">
        <v>134</v>
      </c>
      <c r="I69" s="494" t="s">
        <v>134</v>
      </c>
      <c r="J69" s="476">
        <f t="shared" si="5"/>
        <v>765456</v>
      </c>
      <c r="K69" s="458">
        <v>0</v>
      </c>
      <c r="L69" s="458">
        <v>0</v>
      </c>
      <c r="M69" s="457">
        <f>765456</f>
        <v>765456</v>
      </c>
    </row>
    <row r="70" spans="1:45" s="428" customFormat="1" ht="48.75" customHeight="1">
      <c r="A70" s="583" t="s">
        <v>231</v>
      </c>
      <c r="B70" s="583"/>
      <c r="C70" s="498" t="s">
        <v>134</v>
      </c>
      <c r="D70" s="498" t="s">
        <v>134</v>
      </c>
      <c r="E70" s="495" t="s">
        <v>134</v>
      </c>
      <c r="F70" s="431" t="s">
        <v>134</v>
      </c>
      <c r="G70" s="431" t="s">
        <v>134</v>
      </c>
      <c r="H70" s="494" t="s">
        <v>134</v>
      </c>
      <c r="I70" s="494" t="s">
        <v>134</v>
      </c>
      <c r="J70" s="476">
        <f t="shared" si="5"/>
        <v>125833.32</v>
      </c>
      <c r="K70" s="458">
        <v>0</v>
      </c>
      <c r="L70" s="458">
        <v>0</v>
      </c>
      <c r="M70" s="494">
        <v>125833.32</v>
      </c>
      <c r="N70" s="427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</row>
    <row r="71" spans="1:13" ht="58.5" customHeight="1">
      <c r="A71" s="435" t="s">
        <v>137</v>
      </c>
      <c r="B71" s="536"/>
      <c r="C71" s="436"/>
      <c r="D71" s="436"/>
      <c r="E71" s="437"/>
      <c r="F71" s="436"/>
      <c r="G71" s="436"/>
      <c r="H71" s="438"/>
      <c r="I71" s="438"/>
      <c r="J71" s="439"/>
      <c r="K71" s="439"/>
      <c r="L71" s="440"/>
      <c r="M71" s="439"/>
    </row>
    <row r="72" ht="1.5" customHeight="1">
      <c r="M72" s="576"/>
    </row>
    <row r="73" spans="2:13" ht="3" customHeight="1">
      <c r="B73" s="537"/>
      <c r="C73" s="538"/>
      <c r="D73" s="538"/>
      <c r="E73" s="538"/>
      <c r="F73" s="538"/>
      <c r="G73" s="538"/>
      <c r="H73" s="538"/>
      <c r="I73" s="538"/>
      <c r="J73" s="538"/>
      <c r="K73" s="577"/>
      <c r="L73" s="576"/>
      <c r="M73" s="539"/>
    </row>
    <row r="74" spans="2:7" ht="48" customHeight="1">
      <c r="B74" s="540"/>
      <c r="C74" s="541"/>
      <c r="D74" s="541"/>
      <c r="F74" s="516"/>
      <c r="G74" s="541"/>
    </row>
    <row r="75" spans="2:5" ht="28.5" customHeight="1">
      <c r="B75" s="542"/>
      <c r="C75" s="538"/>
      <c r="D75" s="538"/>
      <c r="E75" s="538"/>
    </row>
    <row r="76" ht="38.25" customHeight="1">
      <c r="N76" s="477"/>
    </row>
    <row r="77" spans="1:14" s="477" customFormat="1" ht="26.25" customHeight="1">
      <c r="A77" s="511"/>
      <c r="B77" s="524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428"/>
    </row>
    <row r="78" spans="1:14" s="428" customFormat="1" ht="12.75" customHeight="1">
      <c r="A78" s="511"/>
      <c r="B78" s="524"/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443"/>
    </row>
    <row r="79" spans="1:14" s="428" customFormat="1" ht="42" customHeight="1">
      <c r="A79" s="511"/>
      <c r="B79" s="524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4"/>
    </row>
    <row r="80" spans="1:14" ht="38.25" customHeight="1">
      <c r="A80" s="543"/>
      <c r="B80" s="544"/>
      <c r="C80" s="545"/>
      <c r="D80" s="545"/>
      <c r="E80" s="545"/>
      <c r="F80" s="545"/>
      <c r="G80" s="545"/>
      <c r="H80" s="545"/>
      <c r="I80" s="545"/>
      <c r="J80" s="429"/>
      <c r="K80" s="546"/>
      <c r="L80" s="546"/>
      <c r="M80" s="543"/>
      <c r="N80" s="439"/>
    </row>
    <row r="81" spans="1:45" s="441" customFormat="1" ht="18.75">
      <c r="A81" s="543"/>
      <c r="B81" s="544"/>
      <c r="C81" s="545"/>
      <c r="D81" s="545"/>
      <c r="E81" s="545"/>
      <c r="F81" s="545"/>
      <c r="G81" s="545"/>
      <c r="H81" s="545"/>
      <c r="I81" s="545"/>
      <c r="J81" s="546"/>
      <c r="K81" s="546"/>
      <c r="L81" s="545"/>
      <c r="M81" s="543"/>
      <c r="N81" s="474"/>
      <c r="O81" s="439"/>
      <c r="P81" s="439"/>
      <c r="Q81" s="439"/>
      <c r="R81" s="439"/>
      <c r="S81" s="439"/>
      <c r="T81" s="439"/>
      <c r="U81" s="439"/>
      <c r="V81" s="439"/>
      <c r="W81" s="439"/>
      <c r="X81" s="439"/>
      <c r="Y81" s="439"/>
      <c r="Z81" s="439"/>
      <c r="AA81" s="439"/>
      <c r="AB81" s="439"/>
      <c r="AC81" s="439"/>
      <c r="AD81" s="439"/>
      <c r="AE81" s="439"/>
      <c r="AF81" s="439"/>
      <c r="AG81" s="439"/>
      <c r="AH81" s="439"/>
      <c r="AI81" s="439"/>
      <c r="AJ81" s="439"/>
      <c r="AK81" s="439"/>
      <c r="AL81" s="439"/>
      <c r="AM81" s="439"/>
      <c r="AN81" s="439"/>
      <c r="AO81" s="439"/>
      <c r="AP81" s="439"/>
      <c r="AQ81" s="439"/>
      <c r="AR81" s="439"/>
      <c r="AS81" s="439"/>
    </row>
    <row r="82" spans="1:256" s="474" customFormat="1" ht="22.5" customHeight="1">
      <c r="A82" s="543"/>
      <c r="B82" s="544"/>
      <c r="C82" s="545"/>
      <c r="D82" s="545"/>
      <c r="E82" s="545"/>
      <c r="F82" s="545"/>
      <c r="G82" s="545"/>
      <c r="H82" s="545"/>
      <c r="I82" s="545"/>
      <c r="J82" s="546"/>
      <c r="K82" s="546"/>
      <c r="L82" s="545"/>
      <c r="M82" s="543"/>
      <c r="BC82" s="473"/>
      <c r="BD82" s="473"/>
      <c r="BE82" s="473"/>
      <c r="BF82" s="473"/>
      <c r="BG82" s="473"/>
      <c r="BH82" s="473"/>
      <c r="BI82" s="473"/>
      <c r="BJ82" s="473"/>
      <c r="BK82" s="473"/>
      <c r="BL82" s="473"/>
      <c r="BM82" s="473"/>
      <c r="BN82" s="473"/>
      <c r="BO82" s="473"/>
      <c r="BP82" s="473"/>
      <c r="BQ82" s="473"/>
      <c r="BR82" s="473"/>
      <c r="BS82" s="473"/>
      <c r="BT82" s="473"/>
      <c r="BU82" s="473"/>
      <c r="BV82" s="473"/>
      <c r="BW82" s="473"/>
      <c r="BX82" s="473"/>
      <c r="BY82" s="473"/>
      <c r="BZ82" s="473"/>
      <c r="CA82" s="473"/>
      <c r="CB82" s="473"/>
      <c r="CC82" s="473"/>
      <c r="CD82" s="473"/>
      <c r="CE82" s="473"/>
      <c r="CF82" s="473"/>
      <c r="CG82" s="473"/>
      <c r="CH82" s="473"/>
      <c r="CI82" s="473"/>
      <c r="CJ82" s="473"/>
      <c r="CK82" s="473"/>
      <c r="CL82" s="473"/>
      <c r="CM82" s="473"/>
      <c r="CN82" s="473"/>
      <c r="CO82" s="473"/>
      <c r="CP82" s="473"/>
      <c r="CQ82" s="473"/>
      <c r="CR82" s="473"/>
      <c r="CS82" s="473"/>
      <c r="CT82" s="473"/>
      <c r="CU82" s="473"/>
      <c r="CV82" s="473"/>
      <c r="CW82" s="473"/>
      <c r="CX82" s="473"/>
      <c r="CY82" s="473"/>
      <c r="CZ82" s="473"/>
      <c r="DA82" s="473"/>
      <c r="DB82" s="473"/>
      <c r="DC82" s="473"/>
      <c r="DD82" s="473"/>
      <c r="DE82" s="473"/>
      <c r="DF82" s="473"/>
      <c r="DG82" s="473"/>
      <c r="DH82" s="473"/>
      <c r="DI82" s="473"/>
      <c r="DJ82" s="473"/>
      <c r="DK82" s="473"/>
      <c r="DL82" s="473"/>
      <c r="DM82" s="473"/>
      <c r="DN82" s="473"/>
      <c r="DO82" s="473"/>
      <c r="DP82" s="473"/>
      <c r="DQ82" s="473"/>
      <c r="DR82" s="473"/>
      <c r="DS82" s="473"/>
      <c r="DT82" s="473"/>
      <c r="DU82" s="473"/>
      <c r="DV82" s="473"/>
      <c r="DW82" s="473"/>
      <c r="DX82" s="473"/>
      <c r="DY82" s="473"/>
      <c r="DZ82" s="473"/>
      <c r="EA82" s="473"/>
      <c r="EB82" s="473"/>
      <c r="EC82" s="473"/>
      <c r="ED82" s="473"/>
      <c r="EE82" s="473"/>
      <c r="EF82" s="473"/>
      <c r="EG82" s="473"/>
      <c r="EH82" s="473"/>
      <c r="EI82" s="473"/>
      <c r="EJ82" s="473"/>
      <c r="EK82" s="473"/>
      <c r="EL82" s="473"/>
      <c r="EM82" s="473"/>
      <c r="EN82" s="473"/>
      <c r="EO82" s="473"/>
      <c r="EP82" s="473"/>
      <c r="EQ82" s="473"/>
      <c r="ER82" s="473"/>
      <c r="ES82" s="473"/>
      <c r="ET82" s="473"/>
      <c r="EU82" s="473"/>
      <c r="EV82" s="473"/>
      <c r="EW82" s="473"/>
      <c r="EX82" s="473"/>
      <c r="EY82" s="473"/>
      <c r="EZ82" s="473"/>
      <c r="FA82" s="473"/>
      <c r="FB82" s="473"/>
      <c r="FC82" s="473"/>
      <c r="FD82" s="473"/>
      <c r="FE82" s="473"/>
      <c r="FF82" s="473"/>
      <c r="FG82" s="473"/>
      <c r="FH82" s="473"/>
      <c r="FI82" s="473"/>
      <c r="FJ82" s="473"/>
      <c r="FK82" s="473"/>
      <c r="FL82" s="473"/>
      <c r="FM82" s="473"/>
      <c r="FN82" s="473"/>
      <c r="FO82" s="473"/>
      <c r="FP82" s="473"/>
      <c r="FQ82" s="473"/>
      <c r="FR82" s="473"/>
      <c r="FS82" s="473"/>
      <c r="FT82" s="473"/>
      <c r="FU82" s="473"/>
      <c r="FV82" s="473"/>
      <c r="FW82" s="473"/>
      <c r="FX82" s="473"/>
      <c r="FY82" s="473"/>
      <c r="FZ82" s="473"/>
      <c r="GA82" s="473"/>
      <c r="GB82" s="473"/>
      <c r="GC82" s="473"/>
      <c r="GD82" s="473"/>
      <c r="GE82" s="473"/>
      <c r="GF82" s="473"/>
      <c r="GG82" s="473"/>
      <c r="GH82" s="473"/>
      <c r="GI82" s="473"/>
      <c r="GJ82" s="473"/>
      <c r="GK82" s="473"/>
      <c r="GL82" s="473"/>
      <c r="GM82" s="473"/>
      <c r="GN82" s="473"/>
      <c r="GO82" s="473"/>
      <c r="GP82" s="473"/>
      <c r="GQ82" s="473"/>
      <c r="GR82" s="473"/>
      <c r="GS82" s="473"/>
      <c r="GT82" s="473"/>
      <c r="GU82" s="473"/>
      <c r="GV82" s="473"/>
      <c r="GW82" s="473"/>
      <c r="GX82" s="473"/>
      <c r="GY82" s="473"/>
      <c r="GZ82" s="473"/>
      <c r="HA82" s="473"/>
      <c r="HB82" s="473"/>
      <c r="HC82" s="473"/>
      <c r="HD82" s="473"/>
      <c r="HE82" s="473"/>
      <c r="HF82" s="473"/>
      <c r="HG82" s="473"/>
      <c r="HH82" s="473"/>
      <c r="HI82" s="473"/>
      <c r="HJ82" s="473"/>
      <c r="HK82" s="473"/>
      <c r="HL82" s="473"/>
      <c r="HM82" s="473"/>
      <c r="HN82" s="473"/>
      <c r="HO82" s="473"/>
      <c r="HP82" s="473"/>
      <c r="HQ82" s="473"/>
      <c r="HR82" s="473"/>
      <c r="HS82" s="473"/>
      <c r="HT82" s="473"/>
      <c r="HU82" s="473"/>
      <c r="HV82" s="473"/>
      <c r="HW82" s="473"/>
      <c r="HX82" s="473"/>
      <c r="HY82" s="473"/>
      <c r="HZ82" s="473"/>
      <c r="IA82" s="473"/>
      <c r="IB82" s="473"/>
      <c r="IC82" s="473"/>
      <c r="ID82" s="473"/>
      <c r="IE82" s="473"/>
      <c r="IF82" s="473"/>
      <c r="IG82" s="473"/>
      <c r="IH82" s="473"/>
      <c r="II82" s="473"/>
      <c r="IJ82" s="473"/>
      <c r="IK82" s="473"/>
      <c r="IL82" s="473"/>
      <c r="IM82" s="473"/>
      <c r="IN82" s="473"/>
      <c r="IO82" s="473"/>
      <c r="IP82" s="473"/>
      <c r="IQ82" s="473"/>
      <c r="IR82" s="473"/>
      <c r="IS82" s="473"/>
      <c r="IT82" s="473"/>
      <c r="IU82" s="473"/>
      <c r="IV82" s="473"/>
    </row>
    <row r="83" spans="1:13" ht="18.75">
      <c r="A83" s="569"/>
      <c r="B83" s="568"/>
      <c r="C83" s="504"/>
      <c r="D83" s="504"/>
      <c r="E83" s="569"/>
      <c r="F83" s="569"/>
      <c r="G83" s="571"/>
      <c r="H83" s="503"/>
      <c r="I83" s="503"/>
      <c r="J83" s="503"/>
      <c r="K83" s="503"/>
      <c r="L83" s="503"/>
      <c r="M83" s="503"/>
    </row>
    <row r="84" spans="1:13" ht="18.75">
      <c r="A84" s="569"/>
      <c r="B84" s="568"/>
      <c r="C84" s="504"/>
      <c r="D84" s="504"/>
      <c r="E84" s="569"/>
      <c r="F84" s="569"/>
      <c r="G84" s="571"/>
      <c r="H84" s="503"/>
      <c r="I84" s="503"/>
      <c r="J84" s="503"/>
      <c r="K84" s="503"/>
      <c r="L84" s="503"/>
      <c r="M84" s="503"/>
    </row>
    <row r="85" spans="1:13" ht="30.75" customHeight="1">
      <c r="A85" s="569"/>
      <c r="B85" s="568"/>
      <c r="C85" s="414"/>
      <c r="D85" s="504"/>
      <c r="E85" s="412"/>
      <c r="F85" s="412"/>
      <c r="G85" s="503"/>
      <c r="H85" s="503"/>
      <c r="I85" s="503"/>
      <c r="J85" s="503"/>
      <c r="K85" s="503"/>
      <c r="L85" s="503"/>
      <c r="M85" s="503"/>
    </row>
    <row r="86" spans="1:13" ht="18.75">
      <c r="A86" s="569"/>
      <c r="B86" s="568"/>
      <c r="C86" s="504"/>
      <c r="D86" s="504"/>
      <c r="E86" s="569"/>
      <c r="F86" s="569"/>
      <c r="G86" s="571"/>
      <c r="H86" s="503"/>
      <c r="I86" s="503"/>
      <c r="J86" s="503"/>
      <c r="K86" s="503"/>
      <c r="L86" s="503"/>
      <c r="M86" s="503"/>
    </row>
    <row r="87" spans="1:13" ht="18.75">
      <c r="A87" s="569"/>
      <c r="B87" s="568"/>
      <c r="C87" s="504"/>
      <c r="D87" s="504"/>
      <c r="E87" s="569"/>
      <c r="F87" s="569"/>
      <c r="G87" s="571"/>
      <c r="H87" s="571"/>
      <c r="I87" s="571"/>
      <c r="J87" s="445"/>
      <c r="K87" s="445"/>
      <c r="L87" s="445"/>
      <c r="M87" s="445"/>
    </row>
    <row r="88" spans="1:13" ht="18.75">
      <c r="A88" s="569"/>
      <c r="B88" s="568"/>
      <c r="C88" s="504"/>
      <c r="D88" s="504"/>
      <c r="E88" s="569"/>
      <c r="F88" s="569"/>
      <c r="G88" s="571"/>
      <c r="H88" s="571"/>
      <c r="I88" s="571"/>
      <c r="J88" s="445"/>
      <c r="K88" s="445"/>
      <c r="L88" s="445"/>
      <c r="M88" s="445"/>
    </row>
    <row r="89" spans="1:13" ht="18.75">
      <c r="A89" s="569"/>
      <c r="B89" s="568"/>
      <c r="C89" s="504"/>
      <c r="D89" s="504"/>
      <c r="E89" s="569"/>
      <c r="F89" s="569"/>
      <c r="G89" s="571"/>
      <c r="H89" s="571"/>
      <c r="I89" s="571"/>
      <c r="J89" s="445"/>
      <c r="K89" s="445"/>
      <c r="L89" s="445"/>
      <c r="M89" s="445"/>
    </row>
    <row r="90" spans="1:14" ht="18.75">
      <c r="A90" s="569"/>
      <c r="B90" s="549"/>
      <c r="C90" s="570"/>
      <c r="D90" s="570"/>
      <c r="E90" s="571"/>
      <c r="F90" s="571"/>
      <c r="G90" s="571"/>
      <c r="H90" s="571"/>
      <c r="I90" s="571"/>
      <c r="J90" s="445"/>
      <c r="K90" s="445"/>
      <c r="L90" s="445"/>
      <c r="M90" s="445"/>
      <c r="N90" s="547"/>
    </row>
    <row r="91" spans="1:256" s="474" customFormat="1" ht="19.5">
      <c r="A91" s="588"/>
      <c r="B91" s="588"/>
      <c r="C91" s="588"/>
      <c r="D91" s="588"/>
      <c r="E91" s="588"/>
      <c r="F91" s="588"/>
      <c r="G91" s="588"/>
      <c r="H91" s="588"/>
      <c r="I91" s="588"/>
      <c r="J91" s="588"/>
      <c r="K91" s="588"/>
      <c r="L91" s="588"/>
      <c r="M91" s="588"/>
      <c r="N91" s="547"/>
      <c r="O91" s="547"/>
      <c r="P91" s="547"/>
      <c r="Q91" s="547"/>
      <c r="R91" s="547"/>
      <c r="S91" s="547"/>
      <c r="T91" s="547"/>
      <c r="U91" s="547"/>
      <c r="V91" s="547"/>
      <c r="W91" s="547"/>
      <c r="X91" s="548"/>
      <c r="Y91" s="547"/>
      <c r="Z91" s="547"/>
      <c r="AA91" s="547"/>
      <c r="AB91" s="547"/>
      <c r="AC91" s="547"/>
      <c r="AD91" s="547"/>
      <c r="AE91" s="547"/>
      <c r="AF91" s="547"/>
      <c r="AG91" s="547"/>
      <c r="AH91" s="547"/>
      <c r="AI91" s="547"/>
      <c r="AJ91" s="547"/>
      <c r="AK91" s="547"/>
      <c r="AL91" s="547"/>
      <c r="AM91" s="547"/>
      <c r="AN91" s="548"/>
      <c r="AO91" s="547"/>
      <c r="AP91" s="547"/>
      <c r="AQ91" s="547"/>
      <c r="AR91" s="547"/>
      <c r="AS91" s="547"/>
      <c r="AT91" s="547"/>
      <c r="AU91" s="547"/>
      <c r="AV91" s="547"/>
      <c r="AW91" s="547"/>
      <c r="AX91" s="547"/>
      <c r="AY91" s="547"/>
      <c r="AZ91" s="547"/>
      <c r="BA91" s="547"/>
      <c r="BB91" s="547"/>
      <c r="BC91" s="547"/>
      <c r="BD91" s="548"/>
      <c r="BE91" s="547"/>
      <c r="BF91" s="547"/>
      <c r="BG91" s="547"/>
      <c r="BH91" s="547"/>
      <c r="BI91" s="547"/>
      <c r="BJ91" s="547"/>
      <c r="BK91" s="547"/>
      <c r="BL91" s="547"/>
      <c r="BM91" s="547"/>
      <c r="BN91" s="547"/>
      <c r="BO91" s="547"/>
      <c r="BP91" s="547"/>
      <c r="BQ91" s="547"/>
      <c r="BR91" s="547"/>
      <c r="BS91" s="547"/>
      <c r="BT91" s="548"/>
      <c r="BU91" s="547"/>
      <c r="BV91" s="547"/>
      <c r="BW91" s="547"/>
      <c r="BX91" s="547"/>
      <c r="BY91" s="547"/>
      <c r="BZ91" s="547"/>
      <c r="CA91" s="547"/>
      <c r="CB91" s="547"/>
      <c r="CC91" s="547"/>
      <c r="CD91" s="547"/>
      <c r="CE91" s="547"/>
      <c r="CF91" s="547"/>
      <c r="CG91" s="547"/>
      <c r="CH91" s="547"/>
      <c r="CI91" s="547"/>
      <c r="CJ91" s="548"/>
      <c r="CK91" s="547"/>
      <c r="CL91" s="547"/>
      <c r="CM91" s="547"/>
      <c r="CN91" s="547"/>
      <c r="CO91" s="547"/>
      <c r="CP91" s="547"/>
      <c r="CQ91" s="547"/>
      <c r="CR91" s="547"/>
      <c r="CS91" s="547"/>
      <c r="CT91" s="547"/>
      <c r="CU91" s="547"/>
      <c r="CV91" s="547"/>
      <c r="CW91" s="547"/>
      <c r="CX91" s="547"/>
      <c r="CY91" s="547"/>
      <c r="CZ91" s="548"/>
      <c r="DA91" s="547"/>
      <c r="DB91" s="547"/>
      <c r="DC91" s="547"/>
      <c r="DD91" s="547"/>
      <c r="DE91" s="547"/>
      <c r="DF91" s="547"/>
      <c r="DG91" s="547"/>
      <c r="DH91" s="547"/>
      <c r="DI91" s="547"/>
      <c r="DJ91" s="547"/>
      <c r="DK91" s="547"/>
      <c r="DL91" s="547"/>
      <c r="DM91" s="547"/>
      <c r="DN91" s="547"/>
      <c r="DO91" s="547"/>
      <c r="DP91" s="548"/>
      <c r="DQ91" s="547"/>
      <c r="DR91" s="547"/>
      <c r="DS91" s="547"/>
      <c r="DT91" s="547"/>
      <c r="DU91" s="547"/>
      <c r="DV91" s="547"/>
      <c r="DW91" s="547"/>
      <c r="DX91" s="547"/>
      <c r="DY91" s="547"/>
      <c r="DZ91" s="547"/>
      <c r="EA91" s="547"/>
      <c r="EB91" s="547"/>
      <c r="EC91" s="547"/>
      <c r="ED91" s="547"/>
      <c r="EE91" s="547"/>
      <c r="EF91" s="548"/>
      <c r="EG91" s="547"/>
      <c r="EH91" s="547"/>
      <c r="EI91" s="547"/>
      <c r="EJ91" s="547"/>
      <c r="EK91" s="547"/>
      <c r="EL91" s="547"/>
      <c r="EM91" s="547"/>
      <c r="EN91" s="547"/>
      <c r="EO91" s="547"/>
      <c r="EP91" s="547"/>
      <c r="EQ91" s="547"/>
      <c r="ER91" s="547"/>
      <c r="ES91" s="547"/>
      <c r="ET91" s="547"/>
      <c r="EU91" s="547"/>
      <c r="EV91" s="548"/>
      <c r="EW91" s="547"/>
      <c r="EX91" s="547"/>
      <c r="EY91" s="547"/>
      <c r="EZ91" s="547"/>
      <c r="FA91" s="547"/>
      <c r="FB91" s="547"/>
      <c r="FC91" s="547"/>
      <c r="FD91" s="547"/>
      <c r="FE91" s="547"/>
      <c r="FF91" s="547"/>
      <c r="FG91" s="547"/>
      <c r="FH91" s="547"/>
      <c r="FI91" s="547"/>
      <c r="FJ91" s="547"/>
      <c r="FK91" s="547"/>
      <c r="FL91" s="548"/>
      <c r="FM91" s="547"/>
      <c r="FN91" s="547"/>
      <c r="FO91" s="547"/>
      <c r="FP91" s="547"/>
      <c r="FQ91" s="547"/>
      <c r="FR91" s="547"/>
      <c r="FS91" s="547"/>
      <c r="FT91" s="547"/>
      <c r="FU91" s="547"/>
      <c r="FV91" s="547"/>
      <c r="FW91" s="547"/>
      <c r="FX91" s="547"/>
      <c r="FY91" s="547"/>
      <c r="FZ91" s="547"/>
      <c r="GA91" s="547"/>
      <c r="GB91" s="548"/>
      <c r="GC91" s="547"/>
      <c r="GD91" s="547"/>
      <c r="GE91" s="547"/>
      <c r="GF91" s="547"/>
      <c r="GG91" s="547"/>
      <c r="GH91" s="547"/>
      <c r="GI91" s="547"/>
      <c r="GJ91" s="547"/>
      <c r="GK91" s="547"/>
      <c r="GL91" s="547"/>
      <c r="GM91" s="547"/>
      <c r="GN91" s="547"/>
      <c r="GO91" s="547"/>
      <c r="GP91" s="547"/>
      <c r="GQ91" s="547"/>
      <c r="GR91" s="548"/>
      <c r="GS91" s="547"/>
      <c r="GT91" s="547"/>
      <c r="GU91" s="547"/>
      <c r="GV91" s="547"/>
      <c r="GW91" s="547"/>
      <c r="GX91" s="547"/>
      <c r="GY91" s="547"/>
      <c r="GZ91" s="547"/>
      <c r="HA91" s="547"/>
      <c r="HB91" s="547"/>
      <c r="HC91" s="547"/>
      <c r="HD91" s="547"/>
      <c r="HE91" s="547"/>
      <c r="HF91" s="547"/>
      <c r="HG91" s="547"/>
      <c r="HH91" s="548"/>
      <c r="HI91" s="547"/>
      <c r="HJ91" s="547"/>
      <c r="HK91" s="547"/>
      <c r="HL91" s="547"/>
      <c r="HM91" s="547"/>
      <c r="HN91" s="547"/>
      <c r="HO91" s="547"/>
      <c r="HP91" s="547"/>
      <c r="HQ91" s="547"/>
      <c r="HR91" s="547"/>
      <c r="HS91" s="547"/>
      <c r="HT91" s="547"/>
      <c r="HU91" s="547"/>
      <c r="HV91" s="547"/>
      <c r="HW91" s="547"/>
      <c r="HX91" s="548"/>
      <c r="HY91" s="547"/>
      <c r="HZ91" s="547"/>
      <c r="IA91" s="547"/>
      <c r="IB91" s="547"/>
      <c r="IC91" s="547"/>
      <c r="ID91" s="547"/>
      <c r="IE91" s="547"/>
      <c r="IF91" s="547"/>
      <c r="IG91" s="547"/>
      <c r="IH91" s="547"/>
      <c r="II91" s="547"/>
      <c r="IJ91" s="547"/>
      <c r="IK91" s="547"/>
      <c r="IL91" s="547"/>
      <c r="IM91" s="547"/>
      <c r="IN91" s="548"/>
      <c r="IO91" s="547"/>
      <c r="IP91" s="547"/>
      <c r="IQ91" s="547"/>
      <c r="IR91" s="547"/>
      <c r="IS91" s="547"/>
      <c r="IT91" s="547"/>
      <c r="IU91" s="547"/>
      <c r="IV91" s="547"/>
    </row>
    <row r="92" spans="1:256" s="474" customFormat="1" ht="18.75">
      <c r="A92" s="569"/>
      <c r="B92" s="413"/>
      <c r="C92" s="569"/>
      <c r="D92" s="504"/>
      <c r="E92" s="569"/>
      <c r="F92" s="569"/>
      <c r="G92" s="503"/>
      <c r="H92" s="503"/>
      <c r="I92" s="503"/>
      <c r="J92" s="503"/>
      <c r="K92" s="503"/>
      <c r="L92" s="503"/>
      <c r="M92" s="503"/>
      <c r="N92" s="547"/>
      <c r="O92" s="547"/>
      <c r="P92" s="547"/>
      <c r="Q92" s="547"/>
      <c r="R92" s="547"/>
      <c r="S92" s="547"/>
      <c r="T92" s="547"/>
      <c r="U92" s="547"/>
      <c r="V92" s="547"/>
      <c r="W92" s="547"/>
      <c r="X92" s="547"/>
      <c r="Y92" s="548"/>
      <c r="Z92" s="547"/>
      <c r="AA92" s="547"/>
      <c r="AB92" s="547"/>
      <c r="AC92" s="547"/>
      <c r="AD92" s="547"/>
      <c r="AE92" s="547"/>
      <c r="AF92" s="547"/>
      <c r="AG92" s="547"/>
      <c r="AH92" s="547"/>
      <c r="AI92" s="547"/>
      <c r="AJ92" s="547"/>
      <c r="AK92" s="547"/>
      <c r="AL92" s="547"/>
      <c r="AM92" s="547"/>
      <c r="AN92" s="547"/>
      <c r="AO92" s="548"/>
      <c r="AP92" s="547"/>
      <c r="AQ92" s="547"/>
      <c r="AR92" s="547"/>
      <c r="AS92" s="547"/>
      <c r="AT92" s="547"/>
      <c r="AU92" s="547"/>
      <c r="AV92" s="547"/>
      <c r="AW92" s="547"/>
      <c r="AX92" s="547"/>
      <c r="AY92" s="547"/>
      <c r="AZ92" s="547"/>
      <c r="BA92" s="547"/>
      <c r="BB92" s="547"/>
      <c r="BC92" s="547"/>
      <c r="BD92" s="547"/>
      <c r="BE92" s="548"/>
      <c r="BF92" s="547"/>
      <c r="BG92" s="547"/>
      <c r="BH92" s="547"/>
      <c r="BI92" s="547"/>
      <c r="BJ92" s="547"/>
      <c r="BK92" s="547"/>
      <c r="BL92" s="547"/>
      <c r="BM92" s="547"/>
      <c r="BN92" s="547"/>
      <c r="BO92" s="547"/>
      <c r="BP92" s="547"/>
      <c r="BQ92" s="547"/>
      <c r="BR92" s="547"/>
      <c r="BS92" s="547"/>
      <c r="BT92" s="547"/>
      <c r="BU92" s="548"/>
      <c r="BV92" s="547"/>
      <c r="BW92" s="547"/>
      <c r="BX92" s="547"/>
      <c r="BY92" s="547"/>
      <c r="BZ92" s="547"/>
      <c r="CA92" s="547"/>
      <c r="CB92" s="547"/>
      <c r="CC92" s="547"/>
      <c r="CD92" s="547"/>
      <c r="CE92" s="547"/>
      <c r="CF92" s="547"/>
      <c r="CG92" s="547"/>
      <c r="CH92" s="547"/>
      <c r="CI92" s="547"/>
      <c r="CJ92" s="547"/>
      <c r="CK92" s="548"/>
      <c r="CL92" s="547"/>
      <c r="CM92" s="547"/>
      <c r="CN92" s="547"/>
      <c r="CO92" s="547"/>
      <c r="CP92" s="547"/>
      <c r="CQ92" s="547"/>
      <c r="CR92" s="547"/>
      <c r="CS92" s="547"/>
      <c r="CT92" s="547"/>
      <c r="CU92" s="547"/>
      <c r="CV92" s="547"/>
      <c r="CW92" s="547"/>
      <c r="CX92" s="547"/>
      <c r="CY92" s="547"/>
      <c r="CZ92" s="547"/>
      <c r="DA92" s="548"/>
      <c r="DB92" s="547"/>
      <c r="DC92" s="547"/>
      <c r="DD92" s="547"/>
      <c r="DE92" s="547"/>
      <c r="DF92" s="547"/>
      <c r="DG92" s="547"/>
      <c r="DH92" s="547"/>
      <c r="DI92" s="547"/>
      <c r="DJ92" s="547"/>
      <c r="DK92" s="547"/>
      <c r="DL92" s="547"/>
      <c r="DM92" s="547"/>
      <c r="DN92" s="547"/>
      <c r="DO92" s="547"/>
      <c r="DP92" s="547"/>
      <c r="DQ92" s="548"/>
      <c r="DR92" s="547"/>
      <c r="DS92" s="547"/>
      <c r="DT92" s="547"/>
      <c r="DU92" s="547"/>
      <c r="DV92" s="547"/>
      <c r="DW92" s="547"/>
      <c r="DX92" s="547"/>
      <c r="DY92" s="547"/>
      <c r="DZ92" s="547"/>
      <c r="EA92" s="547"/>
      <c r="EB92" s="547"/>
      <c r="EC92" s="547"/>
      <c r="ED92" s="547"/>
      <c r="EE92" s="547"/>
      <c r="EF92" s="547"/>
      <c r="EG92" s="548"/>
      <c r="EH92" s="547"/>
      <c r="EI92" s="547"/>
      <c r="EJ92" s="547"/>
      <c r="EK92" s="547"/>
      <c r="EL92" s="547"/>
      <c r="EM92" s="547"/>
      <c r="EN92" s="547"/>
      <c r="EO92" s="547"/>
      <c r="EP92" s="547"/>
      <c r="EQ92" s="547"/>
      <c r="ER92" s="547"/>
      <c r="ES92" s="547"/>
      <c r="ET92" s="547"/>
      <c r="EU92" s="547"/>
      <c r="EV92" s="547"/>
      <c r="EW92" s="548"/>
      <c r="EX92" s="547"/>
      <c r="EY92" s="547"/>
      <c r="EZ92" s="547"/>
      <c r="FA92" s="547"/>
      <c r="FB92" s="547"/>
      <c r="FC92" s="547"/>
      <c r="FD92" s="547"/>
      <c r="FE92" s="547"/>
      <c r="FF92" s="547"/>
      <c r="FG92" s="547"/>
      <c r="FH92" s="547"/>
      <c r="FI92" s="547"/>
      <c r="FJ92" s="547"/>
      <c r="FK92" s="547"/>
      <c r="FL92" s="547"/>
      <c r="FM92" s="548"/>
      <c r="FN92" s="547"/>
      <c r="FO92" s="547"/>
      <c r="FP92" s="547"/>
      <c r="FQ92" s="547"/>
      <c r="FR92" s="547"/>
      <c r="FS92" s="547"/>
      <c r="FT92" s="547"/>
      <c r="FU92" s="547"/>
      <c r="FV92" s="547"/>
      <c r="FW92" s="547"/>
      <c r="FX92" s="547"/>
      <c r="FY92" s="547"/>
      <c r="FZ92" s="547"/>
      <c r="GA92" s="547"/>
      <c r="GB92" s="547"/>
      <c r="GC92" s="548"/>
      <c r="GD92" s="547"/>
      <c r="GE92" s="547"/>
      <c r="GF92" s="547"/>
      <c r="GG92" s="547"/>
      <c r="GH92" s="547"/>
      <c r="GI92" s="547"/>
      <c r="GJ92" s="547"/>
      <c r="GK92" s="547"/>
      <c r="GL92" s="547"/>
      <c r="GM92" s="547"/>
      <c r="GN92" s="547"/>
      <c r="GO92" s="547"/>
      <c r="GP92" s="547"/>
      <c r="GQ92" s="547"/>
      <c r="GR92" s="547"/>
      <c r="GS92" s="548"/>
      <c r="GT92" s="547"/>
      <c r="GU92" s="547"/>
      <c r="GV92" s="547"/>
      <c r="GW92" s="547"/>
      <c r="GX92" s="547"/>
      <c r="GY92" s="547"/>
      <c r="GZ92" s="547"/>
      <c r="HA92" s="547"/>
      <c r="HB92" s="547"/>
      <c r="HC92" s="547"/>
      <c r="HD92" s="547"/>
      <c r="HE92" s="547"/>
      <c r="HF92" s="547"/>
      <c r="HG92" s="547"/>
      <c r="HH92" s="547"/>
      <c r="HI92" s="548"/>
      <c r="HJ92" s="547"/>
      <c r="HK92" s="547"/>
      <c r="HL92" s="547"/>
      <c r="HM92" s="547"/>
      <c r="HN92" s="547"/>
      <c r="HO92" s="547"/>
      <c r="HP92" s="547"/>
      <c r="HQ92" s="547"/>
      <c r="HR92" s="547"/>
      <c r="HS92" s="547"/>
      <c r="HT92" s="547"/>
      <c r="HU92" s="547"/>
      <c r="HV92" s="547"/>
      <c r="HW92" s="547"/>
      <c r="HX92" s="547"/>
      <c r="HY92" s="548"/>
      <c r="HZ92" s="547"/>
      <c r="IA92" s="547"/>
      <c r="IB92" s="547"/>
      <c r="IC92" s="547"/>
      <c r="ID92" s="547"/>
      <c r="IE92" s="547"/>
      <c r="IF92" s="547"/>
      <c r="IG92" s="547"/>
      <c r="IH92" s="547"/>
      <c r="II92" s="547"/>
      <c r="IJ92" s="547"/>
      <c r="IK92" s="547"/>
      <c r="IL92" s="547"/>
      <c r="IM92" s="547"/>
      <c r="IN92" s="547"/>
      <c r="IO92" s="548"/>
      <c r="IP92" s="547"/>
      <c r="IQ92" s="547"/>
      <c r="IR92" s="547"/>
      <c r="IS92" s="547"/>
      <c r="IT92" s="547"/>
      <c r="IU92" s="547"/>
      <c r="IV92" s="547"/>
    </row>
    <row r="93" spans="1:256" s="474" customFormat="1" ht="18.75">
      <c r="A93" s="569"/>
      <c r="B93" s="413"/>
      <c r="C93" s="569"/>
      <c r="D93" s="504"/>
      <c r="E93" s="569"/>
      <c r="F93" s="569"/>
      <c r="G93" s="503"/>
      <c r="H93" s="445"/>
      <c r="I93" s="445"/>
      <c r="J93" s="445"/>
      <c r="K93" s="445"/>
      <c r="L93" s="445"/>
      <c r="M93" s="503"/>
      <c r="O93" s="547"/>
      <c r="P93" s="547"/>
      <c r="Q93" s="547"/>
      <c r="R93" s="547"/>
      <c r="S93" s="547"/>
      <c r="T93" s="547"/>
      <c r="U93" s="547"/>
      <c r="V93" s="547"/>
      <c r="W93" s="547"/>
      <c r="X93" s="547"/>
      <c r="Y93" s="548"/>
      <c r="Z93" s="547"/>
      <c r="AA93" s="547"/>
      <c r="AB93" s="547"/>
      <c r="AC93" s="547"/>
      <c r="AD93" s="547"/>
      <c r="AE93" s="547"/>
      <c r="AF93" s="547"/>
      <c r="AG93" s="547"/>
      <c r="AH93" s="547"/>
      <c r="AI93" s="547"/>
      <c r="AJ93" s="547"/>
      <c r="AK93" s="547"/>
      <c r="AL93" s="547"/>
      <c r="AM93" s="547"/>
      <c r="AN93" s="547"/>
      <c r="AO93" s="548"/>
      <c r="AP93" s="547"/>
      <c r="AQ93" s="547"/>
      <c r="AR93" s="547"/>
      <c r="AS93" s="547"/>
      <c r="AT93" s="547"/>
      <c r="AU93" s="547"/>
      <c r="AV93" s="547"/>
      <c r="AW93" s="547"/>
      <c r="AX93" s="547"/>
      <c r="AY93" s="547"/>
      <c r="AZ93" s="547"/>
      <c r="BA93" s="547"/>
      <c r="BB93" s="547"/>
      <c r="BC93" s="547"/>
      <c r="BD93" s="547"/>
      <c r="BE93" s="548"/>
      <c r="BF93" s="547"/>
      <c r="BG93" s="547"/>
      <c r="BH93" s="547"/>
      <c r="BI93" s="547"/>
      <c r="BJ93" s="547"/>
      <c r="BK93" s="547"/>
      <c r="BL93" s="547"/>
      <c r="BM93" s="547"/>
      <c r="BN93" s="547"/>
      <c r="BO93" s="547"/>
      <c r="BP93" s="547"/>
      <c r="BQ93" s="547"/>
      <c r="BR93" s="547"/>
      <c r="BS93" s="547"/>
      <c r="BT93" s="547"/>
      <c r="BU93" s="548"/>
      <c r="BV93" s="547"/>
      <c r="BW93" s="547"/>
      <c r="BX93" s="547"/>
      <c r="BY93" s="547"/>
      <c r="BZ93" s="547"/>
      <c r="CA93" s="547"/>
      <c r="CB93" s="547"/>
      <c r="CC93" s="547"/>
      <c r="CD93" s="547"/>
      <c r="CE93" s="547"/>
      <c r="CF93" s="547"/>
      <c r="CG93" s="547"/>
      <c r="CH93" s="547"/>
      <c r="CI93" s="547"/>
      <c r="CJ93" s="547"/>
      <c r="CK93" s="548"/>
      <c r="CL93" s="547"/>
      <c r="CM93" s="547"/>
      <c r="CN93" s="547"/>
      <c r="CO93" s="547"/>
      <c r="CP93" s="547"/>
      <c r="CQ93" s="547"/>
      <c r="CR93" s="547"/>
      <c r="CS93" s="547"/>
      <c r="CT93" s="547"/>
      <c r="CU93" s="547"/>
      <c r="CV93" s="547"/>
      <c r="CW93" s="547"/>
      <c r="CX93" s="547"/>
      <c r="CY93" s="547"/>
      <c r="CZ93" s="547"/>
      <c r="DA93" s="548"/>
      <c r="DB93" s="547"/>
      <c r="DC93" s="547"/>
      <c r="DD93" s="547"/>
      <c r="DE93" s="547"/>
      <c r="DF93" s="547"/>
      <c r="DG93" s="547"/>
      <c r="DH93" s="547"/>
      <c r="DI93" s="547"/>
      <c r="DJ93" s="547"/>
      <c r="DK93" s="547"/>
      <c r="DL93" s="547"/>
      <c r="DM93" s="547"/>
      <c r="DN93" s="547"/>
      <c r="DO93" s="547"/>
      <c r="DP93" s="547"/>
      <c r="DQ93" s="548"/>
      <c r="DR93" s="547"/>
      <c r="DS93" s="547"/>
      <c r="DT93" s="547"/>
      <c r="DU93" s="547"/>
      <c r="DV93" s="547"/>
      <c r="DW93" s="547"/>
      <c r="DX93" s="547"/>
      <c r="DY93" s="547"/>
      <c r="DZ93" s="547"/>
      <c r="EA93" s="547"/>
      <c r="EB93" s="547"/>
      <c r="EC93" s="547"/>
      <c r="ED93" s="547"/>
      <c r="EE93" s="547"/>
      <c r="EF93" s="547"/>
      <c r="EG93" s="548"/>
      <c r="EH93" s="547"/>
      <c r="EI93" s="547"/>
      <c r="EJ93" s="547"/>
      <c r="EK93" s="547"/>
      <c r="EL93" s="547"/>
      <c r="EM93" s="547"/>
      <c r="EN93" s="547"/>
      <c r="EO93" s="547"/>
      <c r="EP93" s="547"/>
      <c r="EQ93" s="547"/>
      <c r="ER93" s="547"/>
      <c r="ES93" s="547"/>
      <c r="ET93" s="547"/>
      <c r="EU93" s="547"/>
      <c r="EV93" s="547"/>
      <c r="EW93" s="548"/>
      <c r="EX93" s="547"/>
      <c r="EY93" s="547"/>
      <c r="EZ93" s="547"/>
      <c r="FA93" s="547"/>
      <c r="FB93" s="547"/>
      <c r="FC93" s="547"/>
      <c r="FD93" s="547"/>
      <c r="FE93" s="547"/>
      <c r="FF93" s="547"/>
      <c r="FG93" s="547"/>
      <c r="FH93" s="547"/>
      <c r="FI93" s="547"/>
      <c r="FJ93" s="547"/>
      <c r="FK93" s="547"/>
      <c r="FL93" s="547"/>
      <c r="FM93" s="548"/>
      <c r="FN93" s="547"/>
      <c r="FO93" s="547"/>
      <c r="FP93" s="547"/>
      <c r="FQ93" s="547"/>
      <c r="FR93" s="547"/>
      <c r="FS93" s="547"/>
      <c r="FT93" s="547"/>
      <c r="FU93" s="547"/>
      <c r="FV93" s="547"/>
      <c r="FW93" s="547"/>
      <c r="FX93" s="547"/>
      <c r="FY93" s="547"/>
      <c r="FZ93" s="547"/>
      <c r="GA93" s="547"/>
      <c r="GB93" s="547"/>
      <c r="GC93" s="548"/>
      <c r="GD93" s="547"/>
      <c r="GE93" s="547"/>
      <c r="GF93" s="547"/>
      <c r="GG93" s="547"/>
      <c r="GH93" s="547"/>
      <c r="GI93" s="547"/>
      <c r="GJ93" s="547"/>
      <c r="GK93" s="547"/>
      <c r="GL93" s="547"/>
      <c r="GM93" s="547"/>
      <c r="GN93" s="547"/>
      <c r="GO93" s="547"/>
      <c r="GP93" s="547"/>
      <c r="GQ93" s="547"/>
      <c r="GR93" s="547"/>
      <c r="GS93" s="548"/>
      <c r="GT93" s="547"/>
      <c r="GU93" s="547"/>
      <c r="GV93" s="547"/>
      <c r="GW93" s="547"/>
      <c r="GX93" s="547"/>
      <c r="GY93" s="547"/>
      <c r="GZ93" s="547"/>
      <c r="HA93" s="547"/>
      <c r="HB93" s="547"/>
      <c r="HC93" s="547"/>
      <c r="HD93" s="547"/>
      <c r="HE93" s="547"/>
      <c r="HF93" s="547"/>
      <c r="HG93" s="547"/>
      <c r="HH93" s="547"/>
      <c r="HI93" s="548"/>
      <c r="HJ93" s="547"/>
      <c r="HK93" s="547"/>
      <c r="HL93" s="547"/>
      <c r="HM93" s="547"/>
      <c r="HN93" s="547"/>
      <c r="HO93" s="547"/>
      <c r="HP93" s="547"/>
      <c r="HQ93" s="547"/>
      <c r="HR93" s="547"/>
      <c r="HS93" s="547"/>
      <c r="HT93" s="547"/>
      <c r="HU93" s="547"/>
      <c r="HV93" s="547"/>
      <c r="HW93" s="547"/>
      <c r="HX93" s="547"/>
      <c r="HY93" s="548"/>
      <c r="HZ93" s="547"/>
      <c r="IA93" s="547"/>
      <c r="IB93" s="547"/>
      <c r="IC93" s="547"/>
      <c r="ID93" s="547"/>
      <c r="IE93" s="547"/>
      <c r="IF93" s="547"/>
      <c r="IG93" s="547"/>
      <c r="IH93" s="547"/>
      <c r="II93" s="547"/>
      <c r="IJ93" s="547"/>
      <c r="IK93" s="547"/>
      <c r="IL93" s="547"/>
      <c r="IM93" s="547"/>
      <c r="IN93" s="547"/>
      <c r="IO93" s="548"/>
      <c r="IP93" s="547"/>
      <c r="IQ93" s="547"/>
      <c r="IR93" s="547"/>
      <c r="IS93" s="547"/>
      <c r="IT93" s="547"/>
      <c r="IU93" s="547"/>
      <c r="IV93" s="547"/>
    </row>
    <row r="94" spans="1:13" s="474" customFormat="1" ht="60.75" customHeight="1">
      <c r="A94" s="510"/>
      <c r="B94" s="550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</row>
    <row r="95" spans="1:13" s="474" customFormat="1" ht="60.75" customHeight="1">
      <c r="A95" s="510"/>
      <c r="B95" s="552"/>
      <c r="C95" s="553"/>
      <c r="D95" s="553"/>
      <c r="E95" s="553"/>
      <c r="F95" s="553"/>
      <c r="G95" s="553"/>
      <c r="H95" s="554"/>
      <c r="I95" s="554"/>
      <c r="J95" s="551"/>
      <c r="K95" s="555"/>
      <c r="L95" s="555"/>
      <c r="M95" s="556"/>
    </row>
    <row r="96" spans="1:13" s="474" customFormat="1" ht="60.75" customHeight="1">
      <c r="A96" s="510"/>
      <c r="B96" s="557"/>
      <c r="C96" s="558"/>
      <c r="D96" s="558"/>
      <c r="E96" s="558"/>
      <c r="F96" s="558"/>
      <c r="G96" s="558"/>
      <c r="H96" s="559"/>
      <c r="I96" s="559"/>
      <c r="J96" s="551"/>
      <c r="K96" s="551"/>
      <c r="L96" s="551"/>
      <c r="M96" s="551"/>
    </row>
    <row r="97" spans="1:13" s="474" customFormat="1" ht="60.75" customHeight="1">
      <c r="A97" s="510"/>
      <c r="B97" s="557"/>
      <c r="C97" s="558"/>
      <c r="D97" s="558"/>
      <c r="E97" s="558"/>
      <c r="F97" s="558"/>
      <c r="G97" s="558"/>
      <c r="H97" s="559"/>
      <c r="I97" s="559"/>
      <c r="J97" s="551"/>
      <c r="K97" s="551"/>
      <c r="L97" s="551"/>
      <c r="M97" s="560"/>
    </row>
    <row r="98" spans="1:13" s="474" customFormat="1" ht="60.75" customHeight="1">
      <c r="A98" s="510"/>
      <c r="B98" s="552"/>
      <c r="C98" s="553"/>
      <c r="D98" s="553"/>
      <c r="E98" s="553"/>
      <c r="F98" s="553"/>
      <c r="G98" s="553"/>
      <c r="H98" s="554"/>
      <c r="I98" s="554"/>
      <c r="J98" s="551"/>
      <c r="K98" s="551"/>
      <c r="L98" s="551"/>
      <c r="M98" s="555"/>
    </row>
    <row r="99" spans="1:13" s="474" customFormat="1" ht="60.75" customHeight="1">
      <c r="A99" s="510"/>
      <c r="B99" s="557"/>
      <c r="C99" s="558"/>
      <c r="D99" s="558"/>
      <c r="E99" s="558"/>
      <c r="F99" s="558"/>
      <c r="G99" s="558"/>
      <c r="H99" s="559"/>
      <c r="I99" s="559"/>
      <c r="J99" s="551"/>
      <c r="K99" s="551"/>
      <c r="L99" s="551"/>
      <c r="M99" s="551"/>
    </row>
    <row r="100" spans="1:13" s="474" customFormat="1" ht="60.75" customHeight="1">
      <c r="A100" s="510"/>
      <c r="B100" s="562"/>
      <c r="C100" s="559"/>
      <c r="D100" s="559"/>
      <c r="E100" s="559"/>
      <c r="F100" s="559"/>
      <c r="G100" s="559"/>
      <c r="H100" s="559"/>
      <c r="I100" s="559"/>
      <c r="J100" s="551"/>
      <c r="K100" s="551"/>
      <c r="L100" s="551"/>
      <c r="M100" s="551"/>
    </row>
    <row r="101" spans="1:13" s="474" customFormat="1" ht="34.5" customHeight="1">
      <c r="A101" s="510"/>
      <c r="B101" s="550"/>
      <c r="C101" s="551"/>
      <c r="D101" s="551"/>
      <c r="E101" s="551"/>
      <c r="F101" s="551"/>
      <c r="G101" s="551"/>
      <c r="H101" s="551"/>
      <c r="I101" s="551"/>
      <c r="J101" s="551"/>
      <c r="K101" s="551"/>
      <c r="L101" s="551"/>
      <c r="M101" s="551"/>
    </row>
    <row r="102" spans="1:13" s="474" customFormat="1" ht="32.25" customHeight="1">
      <c r="A102" s="510"/>
      <c r="B102" s="550"/>
      <c r="C102" s="551"/>
      <c r="D102" s="551"/>
      <c r="E102" s="551"/>
      <c r="F102" s="551"/>
      <c r="G102" s="551"/>
      <c r="H102" s="551"/>
      <c r="I102" s="551"/>
      <c r="J102" s="551"/>
      <c r="K102" s="551"/>
      <c r="L102" s="551"/>
      <c r="M102" s="551"/>
    </row>
    <row r="103" spans="1:15" s="474" customFormat="1" ht="45" customHeight="1">
      <c r="A103" s="510"/>
      <c r="B103" s="550"/>
      <c r="C103" s="551"/>
      <c r="D103" s="551"/>
      <c r="E103" s="551"/>
      <c r="F103" s="551"/>
      <c r="G103" s="551"/>
      <c r="H103" s="551"/>
      <c r="I103" s="551"/>
      <c r="J103" s="551"/>
      <c r="K103" s="551"/>
      <c r="L103" s="551"/>
      <c r="M103" s="551"/>
      <c r="O103" s="561"/>
    </row>
    <row r="104" spans="1:13" s="474" customFormat="1" ht="38.25" customHeight="1">
      <c r="A104" s="510"/>
      <c r="B104" s="550"/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</row>
    <row r="105" spans="1:13" s="474" customFormat="1" ht="12.75">
      <c r="A105" s="510"/>
      <c r="B105" s="550"/>
      <c r="C105" s="551"/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</row>
    <row r="106" spans="1:13" s="474" customFormat="1" ht="12.75">
      <c r="A106" s="510"/>
      <c r="B106" s="564"/>
      <c r="C106" s="551"/>
      <c r="D106" s="551"/>
      <c r="E106" s="551"/>
      <c r="F106" s="551"/>
      <c r="G106" s="551"/>
      <c r="H106" s="551"/>
      <c r="I106" s="551"/>
      <c r="J106" s="551"/>
      <c r="K106" s="551"/>
      <c r="L106" s="551"/>
      <c r="M106" s="551"/>
    </row>
    <row r="107" spans="1:14" s="474" customFormat="1" ht="20.25">
      <c r="A107" s="510"/>
      <c r="B107" s="550"/>
      <c r="C107" s="551"/>
      <c r="D107" s="551"/>
      <c r="E107" s="551"/>
      <c r="F107" s="551"/>
      <c r="G107" s="551"/>
      <c r="H107" s="551"/>
      <c r="I107" s="551"/>
      <c r="J107" s="551"/>
      <c r="K107" s="551"/>
      <c r="L107" s="551"/>
      <c r="M107" s="551"/>
      <c r="N107" s="563"/>
    </row>
    <row r="108" spans="1:14" s="474" customFormat="1" ht="20.25">
      <c r="A108" s="510"/>
      <c r="B108" s="550"/>
      <c r="C108" s="551"/>
      <c r="D108" s="551"/>
      <c r="E108" s="551"/>
      <c r="F108" s="551"/>
      <c r="G108" s="551"/>
      <c r="H108" s="551"/>
      <c r="I108" s="551"/>
      <c r="J108" s="551"/>
      <c r="K108" s="551"/>
      <c r="L108" s="551"/>
      <c r="M108" s="551"/>
      <c r="N108" s="563"/>
    </row>
    <row r="109" spans="1:14" s="474" customFormat="1" ht="20.25">
      <c r="A109" s="510"/>
      <c r="B109" s="550"/>
      <c r="C109" s="551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63"/>
    </row>
    <row r="110" spans="1:13" s="474" customFormat="1" ht="12.75">
      <c r="A110" s="510"/>
      <c r="B110" s="550"/>
      <c r="C110" s="551"/>
      <c r="D110" s="551"/>
      <c r="E110" s="551"/>
      <c r="F110" s="551"/>
      <c r="G110" s="551"/>
      <c r="H110" s="551"/>
      <c r="I110" s="551"/>
      <c r="J110" s="551"/>
      <c r="K110" s="551"/>
      <c r="L110" s="551"/>
      <c r="M110" s="551"/>
    </row>
    <row r="111" spans="1:13" s="474" customFormat="1" ht="12.75">
      <c r="A111" s="510"/>
      <c r="B111" s="550"/>
      <c r="C111" s="551"/>
      <c r="D111" s="551"/>
      <c r="E111" s="551"/>
      <c r="F111" s="551"/>
      <c r="G111" s="551"/>
      <c r="H111" s="551"/>
      <c r="I111" s="551"/>
      <c r="J111" s="551"/>
      <c r="K111" s="551"/>
      <c r="L111" s="551"/>
      <c r="M111" s="551"/>
    </row>
    <row r="112" spans="1:13" s="474" customFormat="1" ht="12.75">
      <c r="A112" s="510"/>
      <c r="B112" s="550"/>
      <c r="C112" s="551"/>
      <c r="D112" s="551"/>
      <c r="E112" s="551"/>
      <c r="F112" s="551"/>
      <c r="G112" s="551"/>
      <c r="H112" s="551"/>
      <c r="I112" s="551"/>
      <c r="J112" s="551"/>
      <c r="K112" s="551"/>
      <c r="L112" s="551"/>
      <c r="M112" s="551"/>
    </row>
    <row r="113" spans="1:13" s="474" customFormat="1" ht="12.75">
      <c r="A113" s="510"/>
      <c r="B113" s="550"/>
      <c r="C113" s="551"/>
      <c r="D113" s="551"/>
      <c r="E113" s="551"/>
      <c r="F113" s="551"/>
      <c r="G113" s="551"/>
      <c r="H113" s="551"/>
      <c r="I113" s="551"/>
      <c r="J113" s="551"/>
      <c r="K113" s="551"/>
      <c r="L113" s="551"/>
      <c r="M113" s="551"/>
    </row>
    <row r="114" spans="1:13" s="474" customFormat="1" ht="12.75">
      <c r="A114" s="510"/>
      <c r="B114" s="550"/>
      <c r="C114" s="551"/>
      <c r="D114" s="551"/>
      <c r="E114" s="551"/>
      <c r="F114" s="551"/>
      <c r="G114" s="551"/>
      <c r="H114" s="551"/>
      <c r="I114" s="551"/>
      <c r="J114" s="551"/>
      <c r="K114" s="551"/>
      <c r="L114" s="551"/>
      <c r="M114" s="551"/>
    </row>
    <row r="115" spans="1:13" s="474" customFormat="1" ht="12.75">
      <c r="A115" s="510"/>
      <c r="B115" s="550"/>
      <c r="C115" s="551"/>
      <c r="D115" s="551"/>
      <c r="E115" s="551"/>
      <c r="F115" s="551"/>
      <c r="G115" s="551"/>
      <c r="H115" s="551"/>
      <c r="I115" s="551"/>
      <c r="J115" s="551"/>
      <c r="K115" s="551"/>
      <c r="L115" s="551"/>
      <c r="M115" s="551"/>
    </row>
    <row r="116" spans="1:13" s="474" customFormat="1" ht="12.75">
      <c r="A116" s="510"/>
      <c r="B116" s="550"/>
      <c r="C116" s="551"/>
      <c r="D116" s="551"/>
      <c r="E116" s="551"/>
      <c r="F116" s="551"/>
      <c r="G116" s="551"/>
      <c r="H116" s="551"/>
      <c r="I116" s="551"/>
      <c r="J116" s="551"/>
      <c r="K116" s="551"/>
      <c r="L116" s="551"/>
      <c r="M116" s="551"/>
    </row>
    <row r="117" spans="1:13" s="474" customFormat="1" ht="12.75">
      <c r="A117" s="510"/>
      <c r="B117" s="550"/>
      <c r="C117" s="551"/>
      <c r="D117" s="551"/>
      <c r="E117" s="551"/>
      <c r="F117" s="551"/>
      <c r="G117" s="551"/>
      <c r="H117" s="551"/>
      <c r="I117" s="551"/>
      <c r="J117" s="551"/>
      <c r="K117" s="551"/>
      <c r="L117" s="551"/>
      <c r="M117" s="551"/>
    </row>
    <row r="118" spans="1:13" s="474" customFormat="1" ht="12.75">
      <c r="A118" s="510"/>
      <c r="B118" s="550"/>
      <c r="C118" s="551"/>
      <c r="D118" s="551"/>
      <c r="E118" s="551"/>
      <c r="F118" s="551"/>
      <c r="G118" s="551"/>
      <c r="H118" s="551"/>
      <c r="I118" s="551"/>
      <c r="J118" s="551"/>
      <c r="K118" s="551"/>
      <c r="L118" s="551"/>
      <c r="M118" s="551"/>
    </row>
    <row r="119" spans="1:13" s="474" customFormat="1" ht="12.75">
      <c r="A119" s="510"/>
      <c r="B119" s="550"/>
      <c r="C119" s="551"/>
      <c r="D119" s="551"/>
      <c r="E119" s="551"/>
      <c r="F119" s="551"/>
      <c r="G119" s="551"/>
      <c r="H119" s="551"/>
      <c r="I119" s="551"/>
      <c r="J119" s="551"/>
      <c r="K119" s="551"/>
      <c r="L119" s="551"/>
      <c r="M119" s="551"/>
    </row>
    <row r="120" spans="1:13" s="474" customFormat="1" ht="12.75">
      <c r="A120" s="510"/>
      <c r="B120" s="550"/>
      <c r="C120" s="551"/>
      <c r="D120" s="551"/>
      <c r="E120" s="551"/>
      <c r="F120" s="551"/>
      <c r="G120" s="551"/>
      <c r="H120" s="551"/>
      <c r="I120" s="551"/>
      <c r="J120" s="551"/>
      <c r="K120" s="551"/>
      <c r="L120" s="551"/>
      <c r="M120" s="551"/>
    </row>
    <row r="121" spans="1:13" s="474" customFormat="1" ht="12.75">
      <c r="A121" s="510"/>
      <c r="B121" s="550"/>
      <c r="C121" s="551"/>
      <c r="D121" s="551"/>
      <c r="E121" s="551"/>
      <c r="F121" s="551"/>
      <c r="G121" s="551"/>
      <c r="H121" s="551"/>
      <c r="I121" s="551"/>
      <c r="J121" s="551"/>
      <c r="K121" s="551"/>
      <c r="L121" s="551"/>
      <c r="M121" s="551"/>
    </row>
    <row r="122" spans="1:13" s="474" customFormat="1" ht="12.75">
      <c r="A122" s="510"/>
      <c r="B122" s="550"/>
      <c r="C122" s="551"/>
      <c r="D122" s="551"/>
      <c r="E122" s="551"/>
      <c r="F122" s="551"/>
      <c r="G122" s="551"/>
      <c r="H122" s="551"/>
      <c r="I122" s="551"/>
      <c r="J122" s="551"/>
      <c r="K122" s="551"/>
      <c r="L122" s="551"/>
      <c r="M122" s="551"/>
    </row>
    <row r="123" spans="1:13" s="474" customFormat="1" ht="12.75">
      <c r="A123" s="510"/>
      <c r="B123" s="550"/>
      <c r="C123" s="551"/>
      <c r="D123" s="551"/>
      <c r="E123" s="551"/>
      <c r="F123" s="551"/>
      <c r="G123" s="551"/>
      <c r="H123" s="551"/>
      <c r="I123" s="551"/>
      <c r="J123" s="551"/>
      <c r="K123" s="551"/>
      <c r="L123" s="551"/>
      <c r="M123" s="551"/>
    </row>
    <row r="124" spans="1:13" s="474" customFormat="1" ht="12.75">
      <c r="A124" s="510"/>
      <c r="B124" s="550"/>
      <c r="C124" s="551"/>
      <c r="D124" s="551"/>
      <c r="E124" s="551"/>
      <c r="F124" s="551"/>
      <c r="G124" s="551"/>
      <c r="H124" s="551"/>
      <c r="I124" s="551"/>
      <c r="J124" s="551"/>
      <c r="K124" s="551"/>
      <c r="L124" s="551"/>
      <c r="M124" s="551"/>
    </row>
    <row r="125" spans="1:13" s="474" customFormat="1" ht="12.75">
      <c r="A125" s="510"/>
      <c r="B125" s="550"/>
      <c r="C125" s="551"/>
      <c r="D125" s="551"/>
      <c r="E125" s="551"/>
      <c r="F125" s="551"/>
      <c r="G125" s="551"/>
      <c r="H125" s="551"/>
      <c r="I125" s="551"/>
      <c r="J125" s="551"/>
      <c r="K125" s="551"/>
      <c r="L125" s="551"/>
      <c r="M125" s="551"/>
    </row>
    <row r="126" spans="1:13" s="474" customFormat="1" ht="12.75">
      <c r="A126" s="510"/>
      <c r="B126" s="550"/>
      <c r="C126" s="551"/>
      <c r="D126" s="551"/>
      <c r="E126" s="551"/>
      <c r="F126" s="551"/>
      <c r="G126" s="551"/>
      <c r="H126" s="551"/>
      <c r="I126" s="551"/>
      <c r="J126" s="551"/>
      <c r="K126" s="551"/>
      <c r="L126" s="551"/>
      <c r="M126" s="551"/>
    </row>
    <row r="127" spans="1:13" s="474" customFormat="1" ht="12.75">
      <c r="A127" s="510"/>
      <c r="B127" s="550"/>
      <c r="C127" s="551"/>
      <c r="D127" s="551"/>
      <c r="E127" s="551"/>
      <c r="F127" s="551"/>
      <c r="G127" s="551"/>
      <c r="H127" s="551"/>
      <c r="I127" s="551"/>
      <c r="J127" s="551"/>
      <c r="K127" s="551"/>
      <c r="L127" s="551"/>
      <c r="M127" s="551"/>
    </row>
    <row r="128" spans="1:13" s="474" customFormat="1" ht="12.75">
      <c r="A128" s="510"/>
      <c r="B128" s="550"/>
      <c r="C128" s="551"/>
      <c r="D128" s="551"/>
      <c r="E128" s="551"/>
      <c r="F128" s="551"/>
      <c r="G128" s="551"/>
      <c r="H128" s="551"/>
      <c r="I128" s="551"/>
      <c r="J128" s="551"/>
      <c r="K128" s="551"/>
      <c r="L128" s="551"/>
      <c r="M128" s="551"/>
    </row>
    <row r="129" spans="1:13" s="474" customFormat="1" ht="12.75">
      <c r="A129" s="510"/>
      <c r="B129" s="550"/>
      <c r="C129" s="551"/>
      <c r="D129" s="551"/>
      <c r="E129" s="551"/>
      <c r="F129" s="551"/>
      <c r="G129" s="551"/>
      <c r="H129" s="551"/>
      <c r="I129" s="551"/>
      <c r="J129" s="551"/>
      <c r="K129" s="551"/>
      <c r="L129" s="551"/>
      <c r="M129" s="551"/>
    </row>
    <row r="130" spans="1:13" s="474" customFormat="1" ht="12.75">
      <c r="A130" s="510"/>
      <c r="B130" s="550"/>
      <c r="C130" s="551"/>
      <c r="D130" s="551"/>
      <c r="E130" s="551"/>
      <c r="F130" s="551"/>
      <c r="G130" s="551"/>
      <c r="H130" s="551"/>
      <c r="I130" s="551"/>
      <c r="J130" s="551"/>
      <c r="K130" s="551"/>
      <c r="L130" s="551"/>
      <c r="M130" s="551"/>
    </row>
    <row r="131" spans="1:13" s="474" customFormat="1" ht="12.75">
      <c r="A131" s="510"/>
      <c r="B131" s="550"/>
      <c r="C131" s="551"/>
      <c r="D131" s="551"/>
      <c r="E131" s="551"/>
      <c r="F131" s="551"/>
      <c r="G131" s="551"/>
      <c r="H131" s="551"/>
      <c r="I131" s="551"/>
      <c r="J131" s="551"/>
      <c r="K131" s="551"/>
      <c r="L131" s="551"/>
      <c r="M131" s="551"/>
    </row>
    <row r="132" spans="1:13" s="474" customFormat="1" ht="12.75">
      <c r="A132" s="510"/>
      <c r="B132" s="550"/>
      <c r="C132" s="551"/>
      <c r="D132" s="551"/>
      <c r="E132" s="551"/>
      <c r="F132" s="551"/>
      <c r="G132" s="551"/>
      <c r="H132" s="551"/>
      <c r="I132" s="551"/>
      <c r="J132" s="551"/>
      <c r="K132" s="551"/>
      <c r="L132" s="551"/>
      <c r="M132" s="551"/>
    </row>
    <row r="133" spans="1:13" s="474" customFormat="1" ht="12.75">
      <c r="A133" s="510"/>
      <c r="B133" s="550"/>
      <c r="C133" s="551"/>
      <c r="D133" s="551"/>
      <c r="E133" s="551"/>
      <c r="F133" s="551"/>
      <c r="G133" s="551"/>
      <c r="H133" s="551"/>
      <c r="I133" s="551"/>
      <c r="J133" s="551"/>
      <c r="K133" s="551"/>
      <c r="L133" s="551"/>
      <c r="M133" s="551"/>
    </row>
    <row r="134" spans="1:13" s="474" customFormat="1" ht="12.75">
      <c r="A134" s="510"/>
      <c r="B134" s="550"/>
      <c r="C134" s="551"/>
      <c r="D134" s="551"/>
      <c r="E134" s="551"/>
      <c r="F134" s="551"/>
      <c r="G134" s="551"/>
      <c r="H134" s="551"/>
      <c r="I134" s="551"/>
      <c r="J134" s="551"/>
      <c r="K134" s="551"/>
      <c r="L134" s="551"/>
      <c r="M134" s="551"/>
    </row>
    <row r="135" spans="1:13" s="474" customFormat="1" ht="12.75">
      <c r="A135" s="510"/>
      <c r="B135" s="550"/>
      <c r="C135" s="551"/>
      <c r="D135" s="551"/>
      <c r="E135" s="551"/>
      <c r="F135" s="551"/>
      <c r="G135" s="551"/>
      <c r="H135" s="551"/>
      <c r="I135" s="551"/>
      <c r="J135" s="551"/>
      <c r="K135" s="551"/>
      <c r="L135" s="551"/>
      <c r="M135" s="551"/>
    </row>
    <row r="136" spans="1:13" s="474" customFormat="1" ht="12.75">
      <c r="A136" s="510"/>
      <c r="B136" s="550"/>
      <c r="C136" s="551"/>
      <c r="D136" s="551"/>
      <c r="E136" s="551"/>
      <c r="F136" s="551"/>
      <c r="G136" s="551"/>
      <c r="H136" s="551"/>
      <c r="I136" s="551"/>
      <c r="J136" s="551"/>
      <c r="K136" s="551"/>
      <c r="L136" s="551"/>
      <c r="M136" s="551"/>
    </row>
    <row r="137" spans="1:13" s="474" customFormat="1" ht="12.75">
      <c r="A137" s="510"/>
      <c r="B137" s="550"/>
      <c r="C137" s="551"/>
      <c r="D137" s="551"/>
      <c r="E137" s="551"/>
      <c r="F137" s="551"/>
      <c r="G137" s="551"/>
      <c r="H137" s="551"/>
      <c r="I137" s="551"/>
      <c r="J137" s="551"/>
      <c r="K137" s="551"/>
      <c r="L137" s="551"/>
      <c r="M137" s="551"/>
    </row>
    <row r="138" spans="1:13" s="474" customFormat="1" ht="12.75">
      <c r="A138" s="510"/>
      <c r="B138" s="550"/>
      <c r="C138" s="551"/>
      <c r="D138" s="551"/>
      <c r="E138" s="551"/>
      <c r="F138" s="551"/>
      <c r="G138" s="551"/>
      <c r="H138" s="551"/>
      <c r="I138" s="551"/>
      <c r="J138" s="551"/>
      <c r="K138" s="551"/>
      <c r="L138" s="551"/>
      <c r="M138" s="551"/>
    </row>
    <row r="139" spans="1:13" s="474" customFormat="1" ht="12.75">
      <c r="A139" s="510"/>
      <c r="B139" s="550"/>
      <c r="C139" s="551"/>
      <c r="D139" s="551"/>
      <c r="E139" s="551"/>
      <c r="F139" s="551"/>
      <c r="G139" s="551"/>
      <c r="H139" s="551"/>
      <c r="I139" s="551"/>
      <c r="J139" s="551"/>
      <c r="K139" s="551"/>
      <c r="L139" s="551"/>
      <c r="M139" s="551"/>
    </row>
    <row r="140" spans="1:13" s="474" customFormat="1" ht="12.75">
      <c r="A140" s="510"/>
      <c r="B140" s="550"/>
      <c r="C140" s="551"/>
      <c r="D140" s="551"/>
      <c r="E140" s="551"/>
      <c r="F140" s="551"/>
      <c r="G140" s="551"/>
      <c r="H140" s="551"/>
      <c r="I140" s="551"/>
      <c r="J140" s="551"/>
      <c r="K140" s="551"/>
      <c r="L140" s="551"/>
      <c r="M140" s="551"/>
    </row>
    <row r="141" spans="1:13" s="474" customFormat="1" ht="12.75">
      <c r="A141" s="511"/>
      <c r="B141" s="524"/>
      <c r="C141" s="471"/>
      <c r="D141" s="471"/>
      <c r="E141" s="471"/>
      <c r="F141" s="471"/>
      <c r="G141" s="471"/>
      <c r="H141" s="471"/>
      <c r="I141" s="471"/>
      <c r="J141" s="471"/>
      <c r="K141" s="471"/>
      <c r="L141" s="471"/>
      <c r="M141" s="471"/>
    </row>
    <row r="142" spans="1:13" s="474" customFormat="1" ht="12.75">
      <c r="A142" s="511"/>
      <c r="B142" s="524"/>
      <c r="C142" s="471"/>
      <c r="D142" s="471"/>
      <c r="E142" s="471"/>
      <c r="F142" s="471"/>
      <c r="G142" s="471"/>
      <c r="H142" s="471"/>
      <c r="I142" s="471"/>
      <c r="J142" s="471"/>
      <c r="K142" s="471"/>
      <c r="L142" s="471"/>
      <c r="M142" s="471"/>
    </row>
    <row r="143" spans="1:13" s="474" customFormat="1" ht="12.75">
      <c r="A143" s="511"/>
      <c r="B143" s="524"/>
      <c r="C143" s="471"/>
      <c r="D143" s="471"/>
      <c r="E143" s="471"/>
      <c r="F143" s="471"/>
      <c r="G143" s="471"/>
      <c r="H143" s="471"/>
      <c r="I143" s="471"/>
      <c r="J143" s="471"/>
      <c r="K143" s="471"/>
      <c r="L143" s="471"/>
      <c r="M143" s="471"/>
    </row>
    <row r="144" spans="1:13" s="474" customFormat="1" ht="12.75">
      <c r="A144" s="511"/>
      <c r="B144" s="524"/>
      <c r="C144" s="471"/>
      <c r="D144" s="471"/>
      <c r="E144" s="471"/>
      <c r="F144" s="471"/>
      <c r="G144" s="471"/>
      <c r="H144" s="471"/>
      <c r="I144" s="471"/>
      <c r="J144" s="471"/>
      <c r="K144" s="471"/>
      <c r="L144" s="471"/>
      <c r="M144" s="471"/>
    </row>
    <row r="145" spans="1:13" s="474" customFormat="1" ht="12.75">
      <c r="A145" s="511"/>
      <c r="B145" s="524"/>
      <c r="C145" s="471"/>
      <c r="D145" s="471"/>
      <c r="E145" s="471"/>
      <c r="F145" s="471"/>
      <c r="G145" s="471"/>
      <c r="H145" s="471"/>
      <c r="I145" s="471"/>
      <c r="J145" s="471"/>
      <c r="K145" s="471"/>
      <c r="L145" s="471"/>
      <c r="M145" s="471"/>
    </row>
    <row r="146" spans="1:13" s="474" customFormat="1" ht="12.75">
      <c r="A146" s="511"/>
      <c r="B146" s="524"/>
      <c r="C146" s="471"/>
      <c r="D146" s="471"/>
      <c r="E146" s="471"/>
      <c r="F146" s="471"/>
      <c r="G146" s="471"/>
      <c r="H146" s="471"/>
      <c r="I146" s="471"/>
      <c r="J146" s="471"/>
      <c r="K146" s="471"/>
      <c r="L146" s="471"/>
      <c r="M146" s="471"/>
    </row>
    <row r="147" spans="1:13" s="474" customFormat="1" ht="12.75">
      <c r="A147" s="511"/>
      <c r="B147" s="524"/>
      <c r="C147" s="471"/>
      <c r="D147" s="471"/>
      <c r="E147" s="471"/>
      <c r="F147" s="471"/>
      <c r="G147" s="471"/>
      <c r="H147" s="471"/>
      <c r="I147" s="471"/>
      <c r="J147" s="471"/>
      <c r="K147" s="471"/>
      <c r="L147" s="471"/>
      <c r="M147" s="471"/>
    </row>
    <row r="148" spans="1:13" s="474" customFormat="1" ht="12.75">
      <c r="A148" s="511"/>
      <c r="B148" s="524"/>
      <c r="C148" s="471"/>
      <c r="D148" s="471"/>
      <c r="E148" s="471"/>
      <c r="F148" s="471"/>
      <c r="G148" s="471"/>
      <c r="H148" s="471"/>
      <c r="I148" s="471"/>
      <c r="J148" s="471"/>
      <c r="K148" s="471"/>
      <c r="L148" s="471"/>
      <c r="M148" s="471"/>
    </row>
    <row r="149" spans="1:13" s="474" customFormat="1" ht="12.75">
      <c r="A149" s="511"/>
      <c r="B149" s="524"/>
      <c r="C149" s="471"/>
      <c r="D149" s="471"/>
      <c r="E149" s="471"/>
      <c r="F149" s="471"/>
      <c r="G149" s="471"/>
      <c r="H149" s="471"/>
      <c r="I149" s="471"/>
      <c r="J149" s="471"/>
      <c r="K149" s="471"/>
      <c r="L149" s="471"/>
      <c r="M149" s="471"/>
    </row>
    <row r="150" spans="1:13" s="474" customFormat="1" ht="12.75">
      <c r="A150" s="511"/>
      <c r="B150" s="524"/>
      <c r="C150" s="471"/>
      <c r="D150" s="471"/>
      <c r="E150" s="471"/>
      <c r="F150" s="471"/>
      <c r="G150" s="471"/>
      <c r="H150" s="471"/>
      <c r="I150" s="471"/>
      <c r="J150" s="471"/>
      <c r="K150" s="471"/>
      <c r="L150" s="471"/>
      <c r="M150" s="471"/>
    </row>
    <row r="151" spans="1:13" s="474" customFormat="1" ht="12.75">
      <c r="A151" s="511"/>
      <c r="B151" s="524"/>
      <c r="C151" s="471"/>
      <c r="D151" s="471"/>
      <c r="E151" s="471"/>
      <c r="F151" s="471"/>
      <c r="G151" s="471"/>
      <c r="H151" s="471"/>
      <c r="I151" s="471"/>
      <c r="J151" s="471"/>
      <c r="K151" s="471"/>
      <c r="L151" s="471"/>
      <c r="M151" s="471"/>
    </row>
  </sheetData>
  <mergeCells count="30">
    <mergeCell ref="A67:B67"/>
    <mergeCell ref="A68:B68"/>
    <mergeCell ref="A69:B69"/>
    <mergeCell ref="A70:B70"/>
    <mergeCell ref="A91:M91"/>
    <mergeCell ref="A65:B65"/>
    <mergeCell ref="A66:B66"/>
    <mergeCell ref="K10:M10"/>
    <mergeCell ref="G11:G13"/>
    <mergeCell ref="H11:H13"/>
    <mergeCell ref="K11:K13"/>
    <mergeCell ref="L11:M12"/>
    <mergeCell ref="A15:M15"/>
    <mergeCell ref="I9:I13"/>
    <mergeCell ref="A30:B30"/>
    <mergeCell ref="A35:M35"/>
    <mergeCell ref="A50:B50"/>
    <mergeCell ref="A51:M51"/>
    <mergeCell ref="A31:M31"/>
    <mergeCell ref="A34:B34"/>
    <mergeCell ref="A7:M7"/>
    <mergeCell ref="A9:A13"/>
    <mergeCell ref="B9:B13"/>
    <mergeCell ref="C9:C13"/>
    <mergeCell ref="D9:D13"/>
    <mergeCell ref="E9:F10"/>
    <mergeCell ref="G9:H9"/>
    <mergeCell ref="J9:M9"/>
    <mergeCell ref="G10:H10"/>
    <mergeCell ref="J10:J13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scale="53" r:id="rId1"/>
  <colBreaks count="1" manualBreakCount="1">
    <brk id="13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КРиС</dc:creator>
  <cp:keywords/>
  <dc:description/>
  <cp:lastModifiedBy>КРиС</cp:lastModifiedBy>
  <cp:lastPrinted>2021-02-15T05:31:01Z</cp:lastPrinted>
  <dcterms:created xsi:type="dcterms:W3CDTF">2010-04-11T07:30:18Z</dcterms:created>
  <dcterms:modified xsi:type="dcterms:W3CDTF">2021-02-15T13:54:02Z</dcterms:modified>
  <cp:category/>
  <cp:version/>
  <cp:contentType/>
  <cp:contentStatus/>
</cp:coreProperties>
</file>